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Betancourt Quintero\Downloads\"/>
    </mc:Choice>
  </mc:AlternateContent>
  <bookViews>
    <workbookView xWindow="0" yWindow="0" windowWidth="19200" windowHeight="11370" tabRatio="662"/>
  </bookViews>
  <sheets>
    <sheet name="Resultado CT" sheetId="2" r:id="rId1"/>
    <sheet name="Lote a lote" sheetId="1" r:id="rId2"/>
    <sheet name="Período constante" sheetId="3" r:id="rId3"/>
    <sheet name="EOQ" sheetId="4" r:id="rId4"/>
    <sheet name="POQ" sheetId="5" r:id="rId5"/>
    <sheet name="BPF" sheetId="6" r:id="rId6"/>
    <sheet name="MCU" sheetId="8" r:id="rId7"/>
    <sheet name="Silver - Meal" sheetId="9" r:id="rId8"/>
    <sheet name="Wagner - Within" sheetId="10" r:id="rId9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/>
  <c r="D7" i="2"/>
  <c r="B2" i="2"/>
  <c r="C2" i="2"/>
  <c r="D2" i="2"/>
  <c r="J15" i="10"/>
  <c r="D15" i="10"/>
  <c r="E13" i="10"/>
  <c r="E15" i="10"/>
  <c r="F15" i="10"/>
  <c r="G13" i="10"/>
  <c r="G15" i="10"/>
  <c r="H15" i="10"/>
  <c r="I13" i="10"/>
  <c r="I15" i="10"/>
  <c r="K15" i="10"/>
  <c r="L15" i="10"/>
  <c r="C3" i="2"/>
  <c r="D10" i="10"/>
  <c r="D14" i="10"/>
  <c r="D12" i="10"/>
  <c r="D11" i="10"/>
  <c r="E10" i="10"/>
  <c r="E14" i="10"/>
  <c r="F10" i="10"/>
  <c r="F14" i="10"/>
  <c r="F12" i="10"/>
  <c r="F11" i="10"/>
  <c r="G10" i="10"/>
  <c r="G14" i="10"/>
  <c r="G11" i="10"/>
  <c r="H10" i="10"/>
  <c r="H14" i="10"/>
  <c r="H12" i="10"/>
  <c r="H11" i="10"/>
  <c r="I10" i="10"/>
  <c r="I14" i="10"/>
  <c r="J10" i="10"/>
  <c r="J14" i="10"/>
  <c r="J12" i="10"/>
  <c r="J11" i="10"/>
  <c r="K10" i="10"/>
  <c r="K14" i="10"/>
  <c r="L14" i="10"/>
  <c r="B3" i="2"/>
  <c r="D3" i="2"/>
  <c r="I16" i="10"/>
  <c r="E11" i="10"/>
  <c r="I11" i="10"/>
  <c r="D16" i="10"/>
  <c r="E16" i="10"/>
  <c r="F16" i="10"/>
  <c r="G16" i="10"/>
  <c r="H16" i="10"/>
  <c r="J16" i="10"/>
  <c r="K16" i="10"/>
  <c r="L16" i="10"/>
  <c r="K11" i="10"/>
  <c r="B4" i="4"/>
  <c r="B5" i="4"/>
  <c r="B1" i="4"/>
  <c r="B6" i="4"/>
  <c r="D23" i="9"/>
  <c r="D27" i="9"/>
  <c r="D25" i="9"/>
  <c r="D24" i="9"/>
  <c r="E23" i="9"/>
  <c r="E27" i="9"/>
  <c r="F23" i="9"/>
  <c r="F27" i="9"/>
  <c r="E26" i="9"/>
  <c r="F25" i="9"/>
  <c r="F24" i="9"/>
  <c r="G23" i="9"/>
  <c r="G27" i="9"/>
  <c r="G24" i="9"/>
  <c r="H23" i="9"/>
  <c r="H27" i="9"/>
  <c r="G26" i="9"/>
  <c r="H25" i="9"/>
  <c r="H24" i="9"/>
  <c r="I23" i="9"/>
  <c r="I27" i="9"/>
  <c r="J23" i="9"/>
  <c r="J27" i="9"/>
  <c r="K27" i="9"/>
  <c r="L27" i="9"/>
  <c r="B6" i="2"/>
  <c r="D28" i="9"/>
  <c r="E28" i="9"/>
  <c r="F28" i="9"/>
  <c r="G28" i="9"/>
  <c r="H28" i="9"/>
  <c r="I28" i="9"/>
  <c r="J26" i="9"/>
  <c r="J28" i="9"/>
  <c r="L28" i="9"/>
  <c r="C6" i="2"/>
  <c r="D6" i="2"/>
  <c r="E11" i="1"/>
  <c r="D13" i="1"/>
  <c r="D15" i="1"/>
  <c r="F11" i="1"/>
  <c r="E13" i="1"/>
  <c r="E15" i="1"/>
  <c r="G11" i="1"/>
  <c r="F13" i="1"/>
  <c r="F15" i="1"/>
  <c r="H11" i="1"/>
  <c r="G13" i="1"/>
  <c r="G15" i="1"/>
  <c r="I11" i="1"/>
  <c r="H13" i="1"/>
  <c r="H15" i="1"/>
  <c r="J11" i="1"/>
  <c r="I13" i="1"/>
  <c r="I15" i="1"/>
  <c r="K11" i="1"/>
  <c r="J13" i="1"/>
  <c r="J15" i="1"/>
  <c r="K15" i="1"/>
  <c r="L15" i="1"/>
  <c r="B5" i="5"/>
  <c r="B6" i="5"/>
  <c r="B7" i="5"/>
  <c r="B8" i="5"/>
  <c r="B9" i="5"/>
  <c r="D8" i="5"/>
  <c r="K25" i="9"/>
  <c r="H14" i="9"/>
  <c r="F14" i="9"/>
  <c r="G14" i="9"/>
  <c r="I14" i="9"/>
  <c r="J14" i="9"/>
  <c r="E14" i="9"/>
  <c r="H13" i="9"/>
  <c r="F13" i="9"/>
  <c r="G13" i="9"/>
  <c r="E13" i="9"/>
  <c r="H12" i="9"/>
  <c r="F12" i="9"/>
  <c r="G12" i="9"/>
  <c r="E12" i="9"/>
  <c r="G11" i="9"/>
  <c r="H11" i="9"/>
  <c r="E11" i="9"/>
  <c r="H10" i="9"/>
  <c r="F10" i="9"/>
  <c r="G10" i="9"/>
  <c r="I10" i="9"/>
  <c r="J10" i="9"/>
  <c r="E10" i="9"/>
  <c r="F9" i="9"/>
  <c r="E9" i="9"/>
  <c r="E8" i="9"/>
  <c r="H15" i="9"/>
  <c r="G15" i="9"/>
  <c r="E15" i="9"/>
  <c r="H9" i="9"/>
  <c r="G9" i="9"/>
  <c r="H8" i="9"/>
  <c r="G8" i="9"/>
  <c r="H7" i="9"/>
  <c r="H16" i="9"/>
  <c r="F7" i="9"/>
  <c r="G7" i="9"/>
  <c r="G16" i="9"/>
  <c r="E7" i="9"/>
  <c r="H6" i="9"/>
  <c r="G6" i="9"/>
  <c r="E6" i="9"/>
  <c r="D20" i="5"/>
  <c r="I19" i="5"/>
  <c r="J18" i="5"/>
  <c r="G19" i="5"/>
  <c r="H18" i="5"/>
  <c r="E19" i="5"/>
  <c r="F18" i="5"/>
  <c r="D18" i="5"/>
  <c r="I13" i="9"/>
  <c r="J13" i="9"/>
  <c r="I12" i="9"/>
  <c r="J12" i="9"/>
  <c r="I11" i="9"/>
  <c r="J11" i="9"/>
  <c r="I9" i="9"/>
  <c r="J9" i="9"/>
  <c r="I7" i="9"/>
  <c r="J7" i="9"/>
  <c r="I6" i="9"/>
  <c r="J6" i="9"/>
  <c r="I15" i="9"/>
  <c r="J15" i="9"/>
  <c r="D29" i="9"/>
  <c r="I8" i="9"/>
  <c r="J8" i="9"/>
  <c r="D9" i="5"/>
  <c r="D13" i="4"/>
  <c r="D14" i="4"/>
  <c r="E13" i="4"/>
  <c r="F13" i="4"/>
  <c r="F14" i="4"/>
  <c r="K12" i="1"/>
  <c r="E12" i="1"/>
  <c r="F12" i="1"/>
  <c r="G12" i="1"/>
  <c r="H12" i="1"/>
  <c r="I12" i="1"/>
  <c r="J12" i="1"/>
  <c r="D10" i="1"/>
  <c r="H15" i="8"/>
  <c r="F15" i="8"/>
  <c r="G15" i="8"/>
  <c r="I15" i="8"/>
  <c r="E15" i="8"/>
  <c r="J15" i="8"/>
  <c r="J11" i="3"/>
  <c r="G11" i="3"/>
  <c r="D10" i="3"/>
  <c r="D28" i="6"/>
  <c r="G14" i="6"/>
  <c r="E14" i="6"/>
  <c r="H13" i="6"/>
  <c r="F13" i="6"/>
  <c r="G13" i="6"/>
  <c r="E13" i="6"/>
  <c r="F12" i="6"/>
  <c r="G12" i="6"/>
  <c r="E12" i="6"/>
  <c r="F11" i="6"/>
  <c r="G11" i="6"/>
  <c r="E11" i="6"/>
  <c r="E10" i="6"/>
  <c r="H9" i="6"/>
  <c r="F9" i="6"/>
  <c r="G9" i="6"/>
  <c r="E9" i="6"/>
  <c r="D29" i="8"/>
  <c r="E16" i="8"/>
  <c r="F29" i="8"/>
  <c r="I26" i="8"/>
  <c r="F12" i="8"/>
  <c r="G12" i="8"/>
  <c r="E12" i="8"/>
  <c r="H9" i="8"/>
  <c r="F9" i="8"/>
  <c r="G9" i="8"/>
  <c r="E9" i="8"/>
  <c r="G26" i="8"/>
  <c r="H14" i="8"/>
  <c r="F14" i="8"/>
  <c r="G14" i="8"/>
  <c r="E14" i="8"/>
  <c r="H13" i="8"/>
  <c r="G13" i="8"/>
  <c r="E13" i="8"/>
  <c r="H11" i="8"/>
  <c r="F11" i="8"/>
  <c r="G11" i="8"/>
  <c r="E11" i="8"/>
  <c r="H10" i="8"/>
  <c r="G10" i="8"/>
  <c r="E10" i="8"/>
  <c r="E6" i="8"/>
  <c r="J29" i="8"/>
  <c r="I29" i="8"/>
  <c r="H29" i="8"/>
  <c r="G29" i="8"/>
  <c r="E29" i="8"/>
  <c r="D24" i="8"/>
  <c r="D28" i="8"/>
  <c r="H16" i="8"/>
  <c r="G16" i="8"/>
  <c r="H12" i="8"/>
  <c r="H8" i="8"/>
  <c r="F8" i="8"/>
  <c r="G8" i="8"/>
  <c r="G17" i="8"/>
  <c r="E8" i="8"/>
  <c r="H7" i="8"/>
  <c r="F7" i="8"/>
  <c r="G7" i="8"/>
  <c r="E7" i="8"/>
  <c r="H6" i="8"/>
  <c r="G6" i="8"/>
  <c r="H17" i="8"/>
  <c r="I16" i="9"/>
  <c r="D25" i="8"/>
  <c r="E24" i="8"/>
  <c r="F24" i="8"/>
  <c r="G13" i="4"/>
  <c r="H13" i="4"/>
  <c r="H14" i="4"/>
  <c r="I13" i="4"/>
  <c r="J13" i="4"/>
  <c r="J14" i="4"/>
  <c r="K13" i="4"/>
  <c r="I13" i="6"/>
  <c r="J13" i="6"/>
  <c r="J9" i="6"/>
  <c r="I9" i="6"/>
  <c r="I17" i="8"/>
  <c r="E28" i="8"/>
  <c r="E30" i="8"/>
  <c r="I9" i="8"/>
  <c r="J9" i="8"/>
  <c r="I11" i="8"/>
  <c r="J11" i="8"/>
  <c r="I14" i="8"/>
  <c r="J14" i="8"/>
  <c r="I16" i="8"/>
  <c r="J16" i="8"/>
  <c r="I13" i="8"/>
  <c r="J13" i="8"/>
  <c r="I12" i="8"/>
  <c r="J12" i="8"/>
  <c r="I10" i="8"/>
  <c r="J10" i="8"/>
  <c r="L29" i="8"/>
  <c r="I7" i="8"/>
  <c r="J7" i="8"/>
  <c r="D30" i="8"/>
  <c r="I6" i="8"/>
  <c r="J6" i="8"/>
  <c r="I8" i="8"/>
  <c r="J8" i="8"/>
  <c r="F29" i="9"/>
  <c r="E29" i="9"/>
  <c r="F28" i="8"/>
  <c r="F30" i="8"/>
  <c r="F25" i="8"/>
  <c r="G24" i="8"/>
  <c r="G25" i="8"/>
  <c r="H24" i="8"/>
  <c r="H25" i="8"/>
  <c r="I24" i="8"/>
  <c r="I25" i="8"/>
  <c r="J24" i="8"/>
  <c r="J25" i="8"/>
  <c r="K24" i="8"/>
  <c r="K25" i="8"/>
  <c r="G28" i="8"/>
  <c r="G30" i="8"/>
  <c r="G29" i="9"/>
  <c r="H29" i="9"/>
  <c r="H28" i="8"/>
  <c r="J24" i="9"/>
  <c r="I29" i="9"/>
  <c r="H30" i="8"/>
  <c r="I28" i="8"/>
  <c r="I30" i="8"/>
  <c r="J29" i="9"/>
  <c r="K28" i="8"/>
  <c r="K30" i="8"/>
  <c r="J28" i="8"/>
  <c r="J30" i="8"/>
  <c r="K24" i="9"/>
  <c r="L30" i="8"/>
  <c r="L28" i="8"/>
  <c r="K29" i="9"/>
  <c r="L29" i="9"/>
  <c r="D14" i="3"/>
  <c r="D23" i="6"/>
  <c r="D24" i="6"/>
  <c r="E23" i="6"/>
  <c r="F23" i="6"/>
  <c r="E14" i="1"/>
  <c r="F14" i="1"/>
  <c r="G14" i="1"/>
  <c r="H14" i="1"/>
  <c r="I14" i="1"/>
  <c r="J14" i="1"/>
  <c r="K14" i="1"/>
  <c r="D14" i="1"/>
  <c r="H12" i="6"/>
  <c r="F15" i="6"/>
  <c r="E15" i="6"/>
  <c r="H14" i="6"/>
  <c r="J14" i="6"/>
  <c r="H11" i="6"/>
  <c r="F24" i="6"/>
  <c r="G23" i="6"/>
  <c r="G24" i="6"/>
  <c r="H23" i="6"/>
  <c r="I23" i="6"/>
  <c r="J23" i="6"/>
  <c r="J24" i="6"/>
  <c r="K23" i="6"/>
  <c r="J11" i="6"/>
  <c r="I11" i="6"/>
  <c r="J12" i="6"/>
  <c r="I12" i="6"/>
  <c r="I14" i="6"/>
  <c r="H15" i="6"/>
  <c r="G15" i="6"/>
  <c r="F8" i="6"/>
  <c r="G8" i="6"/>
  <c r="F7" i="6"/>
  <c r="G7" i="6"/>
  <c r="H10" i="6"/>
  <c r="G10" i="6"/>
  <c r="G6" i="6"/>
  <c r="H8" i="6"/>
  <c r="E8" i="6"/>
  <c r="H7" i="6"/>
  <c r="H6" i="6"/>
  <c r="E7" i="6"/>
  <c r="E6" i="6"/>
  <c r="J28" i="6"/>
  <c r="I28" i="6"/>
  <c r="H28" i="6"/>
  <c r="G28" i="6"/>
  <c r="F28" i="6"/>
  <c r="E28" i="6"/>
  <c r="K21" i="5"/>
  <c r="J21" i="5"/>
  <c r="I21" i="5"/>
  <c r="H21" i="5"/>
  <c r="G21" i="5"/>
  <c r="F21" i="5"/>
  <c r="E21" i="5"/>
  <c r="D21" i="5"/>
  <c r="D17" i="5"/>
  <c r="E16" i="5"/>
  <c r="E17" i="5"/>
  <c r="F16" i="5"/>
  <c r="F17" i="5"/>
  <c r="G16" i="5"/>
  <c r="K18" i="4"/>
  <c r="J18" i="4"/>
  <c r="I18" i="4"/>
  <c r="H18" i="4"/>
  <c r="G18" i="4"/>
  <c r="F18" i="4"/>
  <c r="E18" i="4"/>
  <c r="D18" i="4"/>
  <c r="D17" i="4"/>
  <c r="K15" i="3"/>
  <c r="J15" i="3"/>
  <c r="H15" i="3"/>
  <c r="G15" i="3"/>
  <c r="E15" i="3"/>
  <c r="D15" i="3"/>
  <c r="I13" i="3"/>
  <c r="I15" i="3"/>
  <c r="F13" i="3"/>
  <c r="F15" i="3"/>
  <c r="J12" i="3"/>
  <c r="K10" i="3"/>
  <c r="K14" i="3"/>
  <c r="K16" i="3"/>
  <c r="G12" i="3"/>
  <c r="H10" i="3"/>
  <c r="I10" i="3"/>
  <c r="D11" i="3"/>
  <c r="D12" i="3"/>
  <c r="E10" i="3"/>
  <c r="F10" i="3"/>
  <c r="H16" i="6"/>
  <c r="G16" i="6"/>
  <c r="I16" i="6"/>
  <c r="H14" i="3"/>
  <c r="H16" i="3"/>
  <c r="J6" i="6"/>
  <c r="J15" i="6"/>
  <c r="I10" i="6"/>
  <c r="I15" i="6"/>
  <c r="I6" i="6"/>
  <c r="J10" i="6"/>
  <c r="I8" i="6"/>
  <c r="J8" i="6"/>
  <c r="I7" i="6"/>
  <c r="J7" i="6"/>
  <c r="L18" i="4"/>
  <c r="C8" i="2"/>
  <c r="D16" i="3"/>
  <c r="L28" i="6"/>
  <c r="C5" i="2"/>
  <c r="L21" i="5"/>
  <c r="D22" i="5"/>
  <c r="D19" i="4"/>
  <c r="J16" i="3"/>
  <c r="L15" i="3"/>
  <c r="C4" i="2"/>
  <c r="G16" i="3"/>
  <c r="F20" i="5"/>
  <c r="F22" i="5"/>
  <c r="E20" i="5"/>
  <c r="E22" i="5"/>
  <c r="E17" i="4"/>
  <c r="E19" i="4"/>
  <c r="F14" i="3"/>
  <c r="F16" i="3"/>
  <c r="E14" i="3"/>
  <c r="E16" i="3"/>
  <c r="I14" i="3"/>
  <c r="I16" i="3"/>
  <c r="D11" i="1"/>
  <c r="J16" i="1"/>
  <c r="K16" i="1"/>
  <c r="C9" i="2"/>
  <c r="L16" i="3"/>
  <c r="L14" i="3"/>
  <c r="B4" i="2"/>
  <c r="D4" i="2"/>
  <c r="F27" i="6"/>
  <c r="G20" i="5"/>
  <c r="G17" i="5"/>
  <c r="H16" i="5"/>
  <c r="F17" i="4"/>
  <c r="F19" i="4"/>
  <c r="G27" i="6"/>
  <c r="G29" i="6"/>
  <c r="F29" i="6"/>
  <c r="G22" i="5"/>
  <c r="H20" i="5"/>
  <c r="H22" i="5"/>
  <c r="H17" i="5"/>
  <c r="I16" i="5"/>
  <c r="G17" i="4"/>
  <c r="G19" i="4"/>
  <c r="L14" i="1"/>
  <c r="B9" i="2"/>
  <c r="D9" i="2"/>
  <c r="H27" i="6"/>
  <c r="I17" i="5"/>
  <c r="J16" i="5"/>
  <c r="I20" i="5"/>
  <c r="I22" i="5"/>
  <c r="H17" i="4"/>
  <c r="F16" i="1"/>
  <c r="G16" i="1"/>
  <c r="I16" i="1"/>
  <c r="E16" i="1"/>
  <c r="H16" i="1"/>
  <c r="D16" i="1"/>
  <c r="L16" i="1"/>
  <c r="I27" i="6"/>
  <c r="I29" i="6"/>
  <c r="H29" i="6"/>
  <c r="J20" i="5"/>
  <c r="J22" i="5"/>
  <c r="J17" i="5"/>
  <c r="K16" i="5"/>
  <c r="K20" i="5"/>
  <c r="K22" i="5"/>
  <c r="H19" i="4"/>
  <c r="I17" i="4"/>
  <c r="I19" i="4"/>
  <c r="L22" i="5"/>
  <c r="J27" i="6"/>
  <c r="K27" i="6"/>
  <c r="K29" i="6"/>
  <c r="L20" i="5"/>
  <c r="J17" i="4"/>
  <c r="J19" i="4"/>
  <c r="K17" i="4"/>
  <c r="K19" i="4"/>
  <c r="J29" i="6"/>
  <c r="L17" i="4"/>
  <c r="D27" i="6"/>
  <c r="D29" i="6"/>
  <c r="L19" i="4"/>
  <c r="B8" i="2"/>
  <c r="D8" i="2"/>
  <c r="E27" i="6"/>
  <c r="E29" i="6"/>
  <c r="L29" i="6"/>
  <c r="L27" i="6"/>
  <c r="B5" i="2"/>
  <c r="D5" i="2"/>
</calcChain>
</file>

<file path=xl/sharedStrings.xml><?xml version="1.0" encoding="utf-8"?>
<sst xmlns="http://schemas.openxmlformats.org/spreadsheetml/2006/main" count="238" uniqueCount="72">
  <si>
    <t>Artículo</t>
  </si>
  <si>
    <t>Inventario disponible</t>
  </si>
  <si>
    <t>Conceptos</t>
  </si>
  <si>
    <t>Necesidades brutas</t>
  </si>
  <si>
    <t>Recepciones programadas</t>
  </si>
  <si>
    <t>Necesidades netas</t>
  </si>
  <si>
    <t>Recepción de orden</t>
  </si>
  <si>
    <t>Lanzamiento de orden</t>
  </si>
  <si>
    <t>Costo de ordenar</t>
  </si>
  <si>
    <t>Costo de mantener</t>
  </si>
  <si>
    <t>Espejo Tipo B</t>
  </si>
  <si>
    <t>Período de tiempo (semanas)</t>
  </si>
  <si>
    <t>Planificación de materiales: LOTE A LOTE</t>
  </si>
  <si>
    <t>Costo total</t>
  </si>
  <si>
    <t>Costo de preparación</t>
  </si>
  <si>
    <t>Inventario Disponible</t>
  </si>
  <si>
    <t>LT</t>
  </si>
  <si>
    <t>Total</t>
  </si>
  <si>
    <t>Planificación de materiales: EOQ</t>
  </si>
  <si>
    <t>Planificación de materiales: POQ (Cantidad periódica de pedido)</t>
  </si>
  <si>
    <t>Planificación de materiales: BPF (Balanceo de período fragmentado)</t>
  </si>
  <si>
    <t>Período</t>
  </si>
  <si>
    <t>Diferencia</t>
  </si>
  <si>
    <t>Tamaño de lote (necesidades acumuladas)</t>
  </si>
  <si>
    <t>1 y 2</t>
  </si>
  <si>
    <t>1,2 y 3</t>
  </si>
  <si>
    <t>Observación</t>
  </si>
  <si>
    <t>7 y 8</t>
  </si>
  <si>
    <t>Se ordena para 7 y 8</t>
  </si>
  <si>
    <t>Planificación de materiales: Período constante</t>
  </si>
  <si>
    <t>Costo unitario</t>
  </si>
  <si>
    <t>4 y 5</t>
  </si>
  <si>
    <t>6 y 7</t>
  </si>
  <si>
    <t>Se ordena para 1,2 y 3</t>
  </si>
  <si>
    <t>4,5 y 6</t>
  </si>
  <si>
    <t>Se ordena para 4 y 5</t>
  </si>
  <si>
    <t>1, 2 y 3</t>
  </si>
  <si>
    <t>1, 2, 3 y 4</t>
  </si>
  <si>
    <t>6, 7 y 8</t>
  </si>
  <si>
    <t>Se ordena para 6 y 7</t>
  </si>
  <si>
    <t>Se ordena para 8</t>
  </si>
  <si>
    <t>Se ordena para 1, 2 y 3</t>
  </si>
  <si>
    <t>4, 5 y 6</t>
  </si>
  <si>
    <t>Se ordena para 4, 5 y 6</t>
  </si>
  <si>
    <t>4, 5, 6 y 7</t>
  </si>
  <si>
    <t>Devolverse</t>
  </si>
  <si>
    <t>Cantidades promedio</t>
  </si>
  <si>
    <t>Demanda anual</t>
  </si>
  <si>
    <t>EOQ</t>
  </si>
  <si>
    <t>Frecuencia de pedido</t>
  </si>
  <si>
    <t>Número de periodos a ordenar</t>
  </si>
  <si>
    <t>Número de períodos a ordenar</t>
  </si>
  <si>
    <t>Modelo</t>
  </si>
  <si>
    <t>Lote a lote</t>
  </si>
  <si>
    <t>Período constante</t>
  </si>
  <si>
    <t>POQ</t>
  </si>
  <si>
    <t>BPF</t>
  </si>
  <si>
    <t>MCU</t>
  </si>
  <si>
    <t>Silver - Meal</t>
  </si>
  <si>
    <t>Costo total por período</t>
  </si>
  <si>
    <t>Se ordena para 1 y 2</t>
  </si>
  <si>
    <t>3 y 4</t>
  </si>
  <si>
    <t>3, 4 y 5</t>
  </si>
  <si>
    <t>Se ordena para 3 y 4</t>
  </si>
  <si>
    <t>5 y 6</t>
  </si>
  <si>
    <t>5, 6 y 7</t>
  </si>
  <si>
    <t>Se ordena para 5, 6 y 7</t>
  </si>
  <si>
    <t>5, 6, 7 y 8</t>
  </si>
  <si>
    <t>Planificación de materiales: Silver Meal</t>
  </si>
  <si>
    <t>Planificación de materiales: MCU (Mínimo coste unitario)</t>
  </si>
  <si>
    <t>Wagner Within</t>
  </si>
  <si>
    <t>Planificación de materiales: Wagner Within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</si>
</sst>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(&quot;$&quot;\ * #,##0.0_);_(&quot;$&quot;\ * \(#,##0.0\);_(&quot;$&quot;\ * &quot;-&quot;??_);_(@_)"/>
    <numFmt numFmtId="168" formatCode="_-[$$-240A]\ * #,##0.00_-;\-[$$-240A]\ * #,##0.00_-;_-[$$-240A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0" xfId="1" applyNumberFormat="1" applyFont="1"/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/>
    <xf numFmtId="0" fontId="0" fillId="0" borderId="2" xfId="0" applyFill="1" applyBorder="1" applyAlignment="1">
      <alignment vertical="center"/>
    </xf>
    <xf numFmtId="165" fontId="0" fillId="0" borderId="2" xfId="1" applyNumberFormat="1" applyFont="1" applyFill="1" applyBorder="1"/>
    <xf numFmtId="165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0" fillId="0" borderId="0" xfId="1" applyNumberFormat="1" applyFont="1"/>
    <xf numFmtId="10" fontId="0" fillId="0" borderId="0" xfId="0" applyNumberFormat="1"/>
    <xf numFmtId="0" fontId="0" fillId="0" borderId="0" xfId="1" applyNumberFormat="1" applyFont="1"/>
    <xf numFmtId="165" fontId="0" fillId="0" borderId="1" xfId="0" applyNumberFormat="1" applyBorder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16" fontId="0" fillId="0" borderId="0" xfId="0" applyNumberFormat="1"/>
    <xf numFmtId="49" fontId="0" fillId="0" borderId="0" xfId="0" applyNumberFormat="1"/>
    <xf numFmtId="0" fontId="0" fillId="0" borderId="0" xfId="0" applyBorder="1" applyAlignment="1">
      <alignment vertical="center"/>
    </xf>
    <xf numFmtId="0" fontId="0" fillId="0" borderId="0" xfId="0" applyBorder="1"/>
    <xf numFmtId="164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3" borderId="1" xfId="0" applyNumberFormat="1" applyFill="1" applyBorder="1"/>
    <xf numFmtId="0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1" fillId="2" borderId="3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164" fontId="0" fillId="0" borderId="1" xfId="1" applyNumberFormat="1" applyFont="1" applyBorder="1" applyAlignment="1">
      <alignment vertical="center"/>
    </xf>
    <xf numFmtId="165" fontId="0" fillId="0" borderId="0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6" fontId="0" fillId="0" borderId="1" xfId="0" applyNumberFormat="1" applyBorder="1"/>
    <xf numFmtId="164" fontId="0" fillId="4" borderId="1" xfId="0" applyNumberFormat="1" applyFill="1" applyBorder="1"/>
    <xf numFmtId="164" fontId="0" fillId="0" borderId="1" xfId="0" applyNumberFormat="1" applyFill="1" applyBorder="1"/>
    <xf numFmtId="165" fontId="0" fillId="0" borderId="1" xfId="0" applyNumberFormat="1" applyFill="1" applyBorder="1"/>
    <xf numFmtId="0" fontId="0" fillId="4" borderId="1" xfId="0" applyNumberFormat="1" applyFill="1" applyBorder="1"/>
    <xf numFmtId="0" fontId="0" fillId="0" borderId="6" xfId="0" applyBorder="1" applyAlignment="1"/>
    <xf numFmtId="0" fontId="0" fillId="0" borderId="7" xfId="0" applyBorder="1" applyAlignment="1"/>
    <xf numFmtId="2" fontId="0" fillId="0" borderId="0" xfId="1" applyNumberFormat="1" applyFont="1"/>
    <xf numFmtId="1" fontId="0" fillId="0" borderId="1" xfId="0" applyNumberFormat="1" applyBorder="1" applyAlignment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8" fontId="0" fillId="0" borderId="1" xfId="2" applyNumberFormat="1" applyFont="1" applyBorder="1" applyAlignment="1">
      <alignment horizontal="center" vertical="center"/>
    </xf>
    <xf numFmtId="168" fontId="0" fillId="0" borderId="0" xfId="0" applyNumberFormat="1"/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15" sqref="B15"/>
    </sheetView>
  </sheetViews>
  <sheetFormatPr baseColWidth="10" defaultRowHeight="15" x14ac:dyDescent="0.25"/>
  <cols>
    <col min="1" max="1" width="17.140625" bestFit="1" customWidth="1"/>
    <col min="2" max="2" width="19.7109375" bestFit="1" customWidth="1"/>
    <col min="3" max="6" width="20.5703125" customWidth="1"/>
  </cols>
  <sheetData>
    <row r="1" spans="1:6" ht="15.75" x14ac:dyDescent="0.25">
      <c r="A1" s="76" t="s">
        <v>52</v>
      </c>
      <c r="B1" s="76" t="s">
        <v>9</v>
      </c>
      <c r="C1" s="76" t="s">
        <v>8</v>
      </c>
      <c r="D1" s="76" t="s">
        <v>13</v>
      </c>
    </row>
    <row r="2" spans="1:6" x14ac:dyDescent="0.25">
      <c r="A2" s="1" t="s">
        <v>55</v>
      </c>
      <c r="B2" s="77">
        <f>POQ!L20</f>
        <v>397.5</v>
      </c>
      <c r="C2" s="77">
        <f>POQ!L21</f>
        <v>750</v>
      </c>
      <c r="D2" s="77">
        <f>SUM(B2:C2)</f>
        <v>1147.5</v>
      </c>
    </row>
    <row r="3" spans="1:6" x14ac:dyDescent="0.25">
      <c r="A3" s="3" t="s">
        <v>70</v>
      </c>
      <c r="B3" s="77">
        <f>'Wagner - Within'!L14</f>
        <v>397.5</v>
      </c>
      <c r="C3" s="77">
        <f>'Wagner - Within'!L15</f>
        <v>750</v>
      </c>
      <c r="D3" s="77">
        <f>SUM(B3:C3)</f>
        <v>1147.5</v>
      </c>
    </row>
    <row r="4" spans="1:6" x14ac:dyDescent="0.25">
      <c r="A4" s="1" t="s">
        <v>54</v>
      </c>
      <c r="B4" s="77">
        <f>'Período constante'!L14</f>
        <v>681</v>
      </c>
      <c r="C4" s="77">
        <f>'Período constante'!L15</f>
        <v>500</v>
      </c>
      <c r="D4" s="77">
        <f>SUM(B4:C4)</f>
        <v>1181</v>
      </c>
    </row>
    <row r="5" spans="1:6" x14ac:dyDescent="0.25">
      <c r="A5" s="1" t="s">
        <v>56</v>
      </c>
      <c r="B5" s="77">
        <f>BPF!L27</f>
        <v>681</v>
      </c>
      <c r="C5" s="77">
        <f>BPF!L28</f>
        <v>500</v>
      </c>
      <c r="D5" s="77">
        <f>SUM(B5:C5)</f>
        <v>1181</v>
      </c>
    </row>
    <row r="6" spans="1:6" x14ac:dyDescent="0.25">
      <c r="A6" s="1" t="s">
        <v>58</v>
      </c>
      <c r="B6" s="77">
        <f>'Silver - Meal'!L27</f>
        <v>473.5</v>
      </c>
      <c r="C6" s="77">
        <f>'Silver - Meal'!L28</f>
        <v>750</v>
      </c>
      <c r="D6" s="77">
        <f>SUM(B6:C6)</f>
        <v>1223.5</v>
      </c>
    </row>
    <row r="7" spans="1:6" x14ac:dyDescent="0.25">
      <c r="A7" s="1" t="s">
        <v>57</v>
      </c>
      <c r="B7" s="77">
        <f>MCU!L28</f>
        <v>488.5</v>
      </c>
      <c r="C7" s="77">
        <f>MCU!L29</f>
        <v>750</v>
      </c>
      <c r="D7" s="77">
        <f>SUM(B7:C7)</f>
        <v>1238.5</v>
      </c>
    </row>
    <row r="8" spans="1:6" x14ac:dyDescent="0.25">
      <c r="A8" s="1" t="s">
        <v>48</v>
      </c>
      <c r="B8" s="77">
        <f>EOQ!L17</f>
        <v>786.5</v>
      </c>
      <c r="C8" s="77">
        <f>EOQ!L18</f>
        <v>750</v>
      </c>
      <c r="D8" s="77">
        <f>SUM(B8:C8)</f>
        <v>1536.5</v>
      </c>
    </row>
    <row r="9" spans="1:6" x14ac:dyDescent="0.25">
      <c r="A9" s="1" t="s">
        <v>53</v>
      </c>
      <c r="B9" s="77">
        <f>'Lote a lote'!L14</f>
        <v>0</v>
      </c>
      <c r="C9" s="77">
        <f>'Lote a lote'!L15</f>
        <v>1750</v>
      </c>
      <c r="D9" s="77">
        <f>SUM(B9:C9)</f>
        <v>1750</v>
      </c>
    </row>
    <row r="16" spans="1:6" x14ac:dyDescent="0.25">
      <c r="F16" s="78"/>
    </row>
  </sheetData>
  <sortState ref="A2:D9">
    <sortCondition ref="D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workbookViewId="0">
      <selection sqref="A1:XFD1"/>
    </sheetView>
  </sheetViews>
  <sheetFormatPr baseColWidth="10" defaultRowHeight="15" x14ac:dyDescent="0.25"/>
  <cols>
    <col min="1" max="1" width="18" customWidth="1"/>
    <col min="2" max="2" width="13.5703125" customWidth="1"/>
    <col min="3" max="3" width="24.28515625" bestFit="1" customWidth="1"/>
    <col min="4" max="11" width="8.28515625" customWidth="1"/>
    <col min="12" max="12" width="11.42578125" customWidth="1"/>
    <col min="14" max="14" width="28.7109375" bestFit="1" customWidth="1"/>
  </cols>
  <sheetData>
    <row r="1" spans="1:13" x14ac:dyDescent="0.25">
      <c r="A1" t="s">
        <v>9</v>
      </c>
      <c r="B1" s="13">
        <v>0.5</v>
      </c>
    </row>
    <row r="2" spans="1:13" x14ac:dyDescent="0.25">
      <c r="A2" t="s">
        <v>8</v>
      </c>
      <c r="B2" s="4">
        <v>250</v>
      </c>
    </row>
    <row r="3" spans="1:13" x14ac:dyDescent="0.25">
      <c r="A3" t="s">
        <v>16</v>
      </c>
      <c r="B3" s="15">
        <v>1</v>
      </c>
    </row>
    <row r="5" spans="1:13" x14ac:dyDescent="0.25">
      <c r="A5" s="54" t="s">
        <v>12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3" ht="15" customHeight="1" x14ac:dyDescent="0.25">
      <c r="A6" s="53" t="s">
        <v>0</v>
      </c>
      <c r="B6" s="53" t="s">
        <v>1</v>
      </c>
      <c r="C6" s="59" t="s">
        <v>2</v>
      </c>
      <c r="D6" s="54" t="s">
        <v>11</v>
      </c>
      <c r="E6" s="54"/>
      <c r="F6" s="54"/>
      <c r="G6" s="54"/>
      <c r="H6" s="54"/>
      <c r="I6" s="54"/>
      <c r="J6" s="54"/>
      <c r="K6" s="54"/>
      <c r="L6" s="54"/>
    </row>
    <row r="7" spans="1:13" x14ac:dyDescent="0.25">
      <c r="A7" s="53"/>
      <c r="B7" s="53"/>
      <c r="C7" s="59"/>
      <c r="D7" s="10">
        <v>1</v>
      </c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 t="s">
        <v>17</v>
      </c>
    </row>
    <row r="8" spans="1:13" x14ac:dyDescent="0.25">
      <c r="A8" s="55" t="s">
        <v>10</v>
      </c>
      <c r="B8" s="56">
        <v>0</v>
      </c>
      <c r="C8" s="1" t="s">
        <v>3</v>
      </c>
      <c r="D8" s="1">
        <v>160</v>
      </c>
      <c r="E8" s="1">
        <v>166</v>
      </c>
      <c r="F8" s="1">
        <v>220</v>
      </c>
      <c r="G8" s="1">
        <v>271</v>
      </c>
      <c r="H8" s="1">
        <v>210</v>
      </c>
      <c r="I8" s="1">
        <v>188</v>
      </c>
      <c r="J8" s="12">
        <v>161</v>
      </c>
      <c r="K8" s="12">
        <v>170</v>
      </c>
      <c r="L8" s="60"/>
    </row>
    <row r="9" spans="1:13" x14ac:dyDescent="0.25">
      <c r="A9" s="55"/>
      <c r="B9" s="57"/>
      <c r="C9" s="1" t="s">
        <v>4</v>
      </c>
      <c r="D9" s="1"/>
      <c r="E9" s="1"/>
      <c r="F9" s="1"/>
      <c r="G9" s="1"/>
      <c r="H9" s="1"/>
      <c r="I9" s="1"/>
      <c r="J9" s="12"/>
      <c r="K9" s="12"/>
      <c r="L9" s="61"/>
    </row>
    <row r="10" spans="1:13" x14ac:dyDescent="0.25">
      <c r="A10" s="55"/>
      <c r="B10" s="57"/>
      <c r="C10" s="1" t="s">
        <v>15</v>
      </c>
      <c r="D10" s="1">
        <f>B8</f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2">
        <v>0</v>
      </c>
      <c r="K10" s="12">
        <v>0</v>
      </c>
      <c r="L10" s="61"/>
    </row>
    <row r="11" spans="1:13" x14ac:dyDescent="0.25">
      <c r="A11" s="55"/>
      <c r="B11" s="57"/>
      <c r="C11" s="1" t="s">
        <v>5</v>
      </c>
      <c r="D11" s="1">
        <f>D8-D10</f>
        <v>160</v>
      </c>
      <c r="E11" s="1">
        <f t="shared" ref="E11:K11" si="0">E8-E10</f>
        <v>166</v>
      </c>
      <c r="F11" s="1">
        <f t="shared" si="0"/>
        <v>220</v>
      </c>
      <c r="G11" s="1">
        <f t="shared" si="0"/>
        <v>271</v>
      </c>
      <c r="H11" s="1">
        <f t="shared" si="0"/>
        <v>210</v>
      </c>
      <c r="I11" s="1">
        <f t="shared" si="0"/>
        <v>188</v>
      </c>
      <c r="J11" s="1">
        <f t="shared" si="0"/>
        <v>161</v>
      </c>
      <c r="K11" s="1">
        <f t="shared" si="0"/>
        <v>170</v>
      </c>
      <c r="L11" s="61"/>
    </row>
    <row r="12" spans="1:13" x14ac:dyDescent="0.25">
      <c r="A12" s="55"/>
      <c r="B12" s="57"/>
      <c r="C12" s="1" t="s">
        <v>6</v>
      </c>
      <c r="D12" s="1">
        <v>160</v>
      </c>
      <c r="E12" s="1">
        <f>D13</f>
        <v>166</v>
      </c>
      <c r="F12" s="1">
        <f t="shared" ref="F12:K12" si="1">E13</f>
        <v>220</v>
      </c>
      <c r="G12" s="1">
        <f t="shared" si="1"/>
        <v>271</v>
      </c>
      <c r="H12" s="1">
        <f t="shared" si="1"/>
        <v>210</v>
      </c>
      <c r="I12" s="1">
        <f t="shared" si="1"/>
        <v>188</v>
      </c>
      <c r="J12" s="1">
        <f t="shared" si="1"/>
        <v>161</v>
      </c>
      <c r="K12" s="1">
        <f t="shared" si="1"/>
        <v>170</v>
      </c>
      <c r="L12" s="61"/>
      <c r="M12" s="14"/>
    </row>
    <row r="13" spans="1:13" x14ac:dyDescent="0.25">
      <c r="A13" s="55"/>
      <c r="B13" s="57"/>
      <c r="C13" s="1" t="s">
        <v>7</v>
      </c>
      <c r="D13" s="1">
        <f>E11</f>
        <v>166</v>
      </c>
      <c r="E13" s="1">
        <f t="shared" ref="E13:J13" si="2">F11</f>
        <v>220</v>
      </c>
      <c r="F13" s="1">
        <f t="shared" si="2"/>
        <v>271</v>
      </c>
      <c r="G13" s="1">
        <f t="shared" si="2"/>
        <v>210</v>
      </c>
      <c r="H13" s="1">
        <f t="shared" si="2"/>
        <v>188</v>
      </c>
      <c r="I13" s="1">
        <f t="shared" si="2"/>
        <v>161</v>
      </c>
      <c r="J13" s="1">
        <f t="shared" si="2"/>
        <v>170</v>
      </c>
      <c r="K13" s="1"/>
      <c r="L13" s="62"/>
    </row>
    <row r="14" spans="1:13" x14ac:dyDescent="0.25">
      <c r="A14" s="55"/>
      <c r="B14" s="57"/>
      <c r="C14" s="1" t="s">
        <v>9</v>
      </c>
      <c r="D14" s="5">
        <f>D10*$B$1</f>
        <v>0</v>
      </c>
      <c r="E14" s="5">
        <f t="shared" ref="E14:K14" si="3">E10*$B$1</f>
        <v>0</v>
      </c>
      <c r="F14" s="5">
        <f t="shared" si="3"/>
        <v>0</v>
      </c>
      <c r="G14" s="5">
        <f t="shared" si="3"/>
        <v>0</v>
      </c>
      <c r="H14" s="5">
        <f t="shared" si="3"/>
        <v>0</v>
      </c>
      <c r="I14" s="5">
        <f t="shared" si="3"/>
        <v>0</v>
      </c>
      <c r="J14" s="5">
        <f t="shared" si="3"/>
        <v>0</v>
      </c>
      <c r="K14" s="5">
        <f t="shared" si="3"/>
        <v>0</v>
      </c>
      <c r="L14" s="16">
        <f>SUM(D14:K14)</f>
        <v>0</v>
      </c>
      <c r="M14" s="17"/>
    </row>
    <row r="15" spans="1:13" x14ac:dyDescent="0.25">
      <c r="A15" s="55"/>
      <c r="B15" s="57"/>
      <c r="C15" s="1" t="s">
        <v>14</v>
      </c>
      <c r="D15" s="5">
        <f>IF(D13&gt;0,1*$B$2,0)</f>
        <v>250</v>
      </c>
      <c r="E15" s="5">
        <f t="shared" ref="E15:K15" si="4">IF(E13&gt;0,1*$B$2,0)</f>
        <v>250</v>
      </c>
      <c r="F15" s="5">
        <f t="shared" si="4"/>
        <v>250</v>
      </c>
      <c r="G15" s="5">
        <f t="shared" si="4"/>
        <v>250</v>
      </c>
      <c r="H15" s="5">
        <f t="shared" si="4"/>
        <v>250</v>
      </c>
      <c r="I15" s="5">
        <f t="shared" si="4"/>
        <v>250</v>
      </c>
      <c r="J15" s="5">
        <f t="shared" si="4"/>
        <v>250</v>
      </c>
      <c r="K15" s="5">
        <f t="shared" si="4"/>
        <v>0</v>
      </c>
      <c r="L15" s="16">
        <f>SUM(D15:K15)</f>
        <v>1750</v>
      </c>
    </row>
    <row r="16" spans="1:13" x14ac:dyDescent="0.25">
      <c r="A16" s="55"/>
      <c r="B16" s="58"/>
      <c r="C16" s="3" t="s">
        <v>13</v>
      </c>
      <c r="D16" s="6">
        <f>D14+D15</f>
        <v>250</v>
      </c>
      <c r="E16" s="6">
        <f t="shared" ref="E16:K16" si="5">E14+E15</f>
        <v>250</v>
      </c>
      <c r="F16" s="6">
        <f t="shared" si="5"/>
        <v>250</v>
      </c>
      <c r="G16" s="6">
        <f>G14+G15</f>
        <v>250</v>
      </c>
      <c r="H16" s="6">
        <f t="shared" si="5"/>
        <v>250</v>
      </c>
      <c r="I16" s="6">
        <f t="shared" si="5"/>
        <v>250</v>
      </c>
      <c r="J16" s="6">
        <f t="shared" si="5"/>
        <v>250</v>
      </c>
      <c r="K16" s="6">
        <f t="shared" si="5"/>
        <v>0</v>
      </c>
      <c r="L16" s="16">
        <f>SUM(D16:K16)</f>
        <v>1750</v>
      </c>
    </row>
    <row r="17" spans="3:3" x14ac:dyDescent="0.25">
      <c r="C17" s="2"/>
    </row>
  </sheetData>
  <mergeCells count="8">
    <mergeCell ref="B6:B7"/>
    <mergeCell ref="A5:L5"/>
    <mergeCell ref="D6:L6"/>
    <mergeCell ref="A8:A16"/>
    <mergeCell ref="B8:B16"/>
    <mergeCell ref="C6:C7"/>
    <mergeCell ref="A6:A7"/>
    <mergeCell ref="L8:L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showGridLines="0" workbookViewId="0">
      <selection sqref="A1:XFD1"/>
    </sheetView>
  </sheetViews>
  <sheetFormatPr baseColWidth="10" defaultRowHeight="15" x14ac:dyDescent="0.25"/>
  <cols>
    <col min="1" max="1" width="18" bestFit="1" customWidth="1"/>
    <col min="2" max="2" width="13.5703125" customWidth="1"/>
    <col min="3" max="3" width="24.28515625" bestFit="1" customWidth="1"/>
    <col min="4" max="11" width="8" customWidth="1"/>
    <col min="14" max="14" width="28.7109375" bestFit="1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5" spans="1:12" x14ac:dyDescent="0.25">
      <c r="A5" s="54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5" customHeight="1" x14ac:dyDescent="0.25">
      <c r="A6" s="53" t="s">
        <v>0</v>
      </c>
      <c r="B6" s="53" t="s">
        <v>1</v>
      </c>
      <c r="C6" s="59" t="s">
        <v>2</v>
      </c>
      <c r="D6" s="54" t="s">
        <v>11</v>
      </c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53"/>
      <c r="B7" s="53"/>
      <c r="C7" s="59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 t="s">
        <v>17</v>
      </c>
    </row>
    <row r="8" spans="1:12" x14ac:dyDescent="0.25">
      <c r="A8" s="63" t="s">
        <v>10</v>
      </c>
      <c r="B8" s="55">
        <v>0</v>
      </c>
      <c r="C8" s="1" t="s">
        <v>3</v>
      </c>
      <c r="D8" s="1">
        <v>160</v>
      </c>
      <c r="E8" s="1">
        <v>166</v>
      </c>
      <c r="F8" s="1">
        <v>220</v>
      </c>
      <c r="G8" s="1">
        <v>271</v>
      </c>
      <c r="H8" s="1">
        <v>210</v>
      </c>
      <c r="I8" s="1">
        <v>188</v>
      </c>
      <c r="J8" s="12">
        <v>161</v>
      </c>
      <c r="K8" s="12">
        <v>170</v>
      </c>
      <c r="L8" s="64"/>
    </row>
    <row r="9" spans="1:12" x14ac:dyDescent="0.25">
      <c r="A9" s="63"/>
      <c r="B9" s="55"/>
      <c r="C9" s="1" t="s">
        <v>4</v>
      </c>
      <c r="D9" s="1"/>
      <c r="E9" s="1"/>
      <c r="F9" s="1"/>
      <c r="G9" s="1"/>
      <c r="H9" s="1"/>
      <c r="I9" s="1"/>
      <c r="J9" s="12"/>
      <c r="K9" s="12"/>
      <c r="L9" s="64"/>
    </row>
    <row r="10" spans="1:12" x14ac:dyDescent="0.25">
      <c r="A10" s="63"/>
      <c r="B10" s="55"/>
      <c r="C10" s="1" t="s">
        <v>15</v>
      </c>
      <c r="D10" s="1">
        <f>B8</f>
        <v>0</v>
      </c>
      <c r="E10" s="1">
        <f>D12-D11</f>
        <v>386</v>
      </c>
      <c r="F10" s="1">
        <f>E10-E8</f>
        <v>220</v>
      </c>
      <c r="G10" s="1">
        <v>0</v>
      </c>
      <c r="H10" s="1">
        <f>G12-G11</f>
        <v>398</v>
      </c>
      <c r="I10" s="1">
        <f>H10-H8</f>
        <v>188</v>
      </c>
      <c r="J10" s="1">
        <v>0</v>
      </c>
      <c r="K10" s="1">
        <f>J12-J11</f>
        <v>170</v>
      </c>
      <c r="L10" s="64"/>
    </row>
    <row r="11" spans="1:12" x14ac:dyDescent="0.25">
      <c r="A11" s="63"/>
      <c r="B11" s="55"/>
      <c r="C11" s="1" t="s">
        <v>5</v>
      </c>
      <c r="D11" s="1">
        <f>D8-D10</f>
        <v>160</v>
      </c>
      <c r="E11" s="1"/>
      <c r="F11" s="1"/>
      <c r="G11" s="1">
        <f>G8-G10</f>
        <v>271</v>
      </c>
      <c r="H11" s="1"/>
      <c r="I11" s="1"/>
      <c r="J11" s="12">
        <f>J8-J10</f>
        <v>161</v>
      </c>
      <c r="K11" s="12"/>
      <c r="L11" s="64"/>
    </row>
    <row r="12" spans="1:12" x14ac:dyDescent="0.25">
      <c r="A12" s="63"/>
      <c r="B12" s="55"/>
      <c r="C12" s="1" t="s">
        <v>6</v>
      </c>
      <c r="D12" s="1">
        <f>D11+E8+F8</f>
        <v>546</v>
      </c>
      <c r="E12" s="1"/>
      <c r="F12" s="1"/>
      <c r="G12" s="1">
        <f>G8+H8+I8</f>
        <v>669</v>
      </c>
      <c r="H12" s="1"/>
      <c r="I12" s="1"/>
      <c r="J12" s="12">
        <f>J8+K8</f>
        <v>331</v>
      </c>
      <c r="K12" s="12"/>
      <c r="L12" s="64"/>
    </row>
    <row r="13" spans="1:12" x14ac:dyDescent="0.25">
      <c r="A13" s="63"/>
      <c r="B13" s="55"/>
      <c r="C13" s="1" t="s">
        <v>7</v>
      </c>
      <c r="D13" s="1"/>
      <c r="E13" s="1"/>
      <c r="F13" s="1">
        <f>G8+H8+I8</f>
        <v>669</v>
      </c>
      <c r="G13" s="1"/>
      <c r="H13" s="1"/>
      <c r="I13" s="1">
        <f>J8+K8</f>
        <v>331</v>
      </c>
      <c r="J13" s="12"/>
      <c r="K13" s="12"/>
      <c r="L13" s="64"/>
    </row>
    <row r="14" spans="1:12" x14ac:dyDescent="0.25">
      <c r="A14" s="63"/>
      <c r="B14" s="55"/>
      <c r="C14" s="1" t="s">
        <v>9</v>
      </c>
      <c r="D14" s="5">
        <f t="shared" ref="D14:K14" si="0">D10*$B$1</f>
        <v>0</v>
      </c>
      <c r="E14" s="5">
        <f t="shared" si="0"/>
        <v>193</v>
      </c>
      <c r="F14" s="5">
        <f t="shared" si="0"/>
        <v>110</v>
      </c>
      <c r="G14" s="5"/>
      <c r="H14" s="5">
        <f t="shared" si="0"/>
        <v>199</v>
      </c>
      <c r="I14" s="5">
        <f t="shared" si="0"/>
        <v>94</v>
      </c>
      <c r="J14" s="5"/>
      <c r="K14" s="5">
        <f t="shared" si="0"/>
        <v>85</v>
      </c>
      <c r="L14" s="16">
        <f>SUM(D14:K14)</f>
        <v>681</v>
      </c>
    </row>
    <row r="15" spans="1:12" x14ac:dyDescent="0.25">
      <c r="A15" s="63"/>
      <c r="B15" s="55"/>
      <c r="C15" s="1" t="s">
        <v>14</v>
      </c>
      <c r="D15" s="5">
        <f>IF(D13&gt;0,1*$B$2,0)</f>
        <v>0</v>
      </c>
      <c r="E15" s="5">
        <f t="shared" ref="E15:K15" si="1">IF(E13&gt;0,1*$B$2,0)</f>
        <v>0</v>
      </c>
      <c r="F15" s="5">
        <f t="shared" si="1"/>
        <v>250</v>
      </c>
      <c r="G15" s="5">
        <f t="shared" si="1"/>
        <v>0</v>
      </c>
      <c r="H15" s="5">
        <f t="shared" si="1"/>
        <v>0</v>
      </c>
      <c r="I15" s="5">
        <f t="shared" si="1"/>
        <v>250</v>
      </c>
      <c r="J15" s="5">
        <f t="shared" si="1"/>
        <v>0</v>
      </c>
      <c r="K15" s="5">
        <f t="shared" si="1"/>
        <v>0</v>
      </c>
      <c r="L15" s="16">
        <f>SUM(D15:K15)</f>
        <v>500</v>
      </c>
    </row>
    <row r="16" spans="1:12" x14ac:dyDescent="0.25">
      <c r="A16" s="63"/>
      <c r="B16" s="55"/>
      <c r="C16" s="3" t="s">
        <v>13</v>
      </c>
      <c r="D16" s="6">
        <f>D14+D15</f>
        <v>0</v>
      </c>
      <c r="E16" s="6">
        <f t="shared" ref="E16:F16" si="2">E14+E15</f>
        <v>193</v>
      </c>
      <c r="F16" s="6">
        <f t="shared" si="2"/>
        <v>360</v>
      </c>
      <c r="G16" s="6">
        <f>G14+G15</f>
        <v>0</v>
      </c>
      <c r="H16" s="6">
        <f t="shared" ref="H16:K16" si="3">H14+H15</f>
        <v>199</v>
      </c>
      <c r="I16" s="6">
        <f t="shared" si="3"/>
        <v>344</v>
      </c>
      <c r="J16" s="6">
        <f t="shared" si="3"/>
        <v>0</v>
      </c>
      <c r="K16" s="6">
        <f t="shared" si="3"/>
        <v>85</v>
      </c>
      <c r="L16" s="25">
        <f>SUM(D16:K16)</f>
        <v>1181</v>
      </c>
    </row>
    <row r="18" spans="15:15" x14ac:dyDescent="0.25">
      <c r="O18" s="17"/>
    </row>
  </sheetData>
  <mergeCells count="8">
    <mergeCell ref="A8:A16"/>
    <mergeCell ref="B8:B16"/>
    <mergeCell ref="L8:L13"/>
    <mergeCell ref="A5:L5"/>
    <mergeCell ref="A6:A7"/>
    <mergeCell ref="B6:B7"/>
    <mergeCell ref="C6:C7"/>
    <mergeCell ref="D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>
      <selection activeCell="C31" sqref="C31"/>
    </sheetView>
  </sheetViews>
  <sheetFormatPr baseColWidth="10" defaultRowHeight="15" x14ac:dyDescent="0.25"/>
  <cols>
    <col min="1" max="1" width="20.140625" bestFit="1" customWidth="1"/>
    <col min="2" max="2" width="13.5703125" customWidth="1"/>
    <col min="3" max="3" width="24.28515625" bestFit="1" customWidth="1"/>
    <col min="4" max="11" width="9.140625" customWidth="1"/>
  </cols>
  <sheetData>
    <row r="1" spans="1:13" x14ac:dyDescent="0.25">
      <c r="A1" t="s">
        <v>9</v>
      </c>
      <c r="B1" s="13">
        <f>0.5</f>
        <v>0.5</v>
      </c>
    </row>
    <row r="2" spans="1:13" x14ac:dyDescent="0.25">
      <c r="A2" t="s">
        <v>8</v>
      </c>
      <c r="B2" s="4">
        <v>250</v>
      </c>
    </row>
    <row r="3" spans="1:13" x14ac:dyDescent="0.25">
      <c r="A3" t="s">
        <v>16</v>
      </c>
      <c r="B3" s="15">
        <v>1</v>
      </c>
    </row>
    <row r="4" spans="1:13" x14ac:dyDescent="0.25">
      <c r="A4" t="s">
        <v>46</v>
      </c>
      <c r="B4" s="15">
        <f>AVERAGE(D11:K11)</f>
        <v>193.25</v>
      </c>
    </row>
    <row r="5" spans="1:13" x14ac:dyDescent="0.25">
      <c r="A5" t="s">
        <v>47</v>
      </c>
      <c r="B5" s="15">
        <f>B4*52</f>
        <v>10049</v>
      </c>
    </row>
    <row r="6" spans="1:13" x14ac:dyDescent="0.25">
      <c r="A6" t="s">
        <v>48</v>
      </c>
      <c r="B6" s="49">
        <f>SQRT((2*B5*B2)/(B1*52))</f>
        <v>439.60209280666533</v>
      </c>
      <c r="C6" s="17"/>
    </row>
    <row r="7" spans="1:13" x14ac:dyDescent="0.25">
      <c r="B7" s="15"/>
    </row>
    <row r="8" spans="1:13" x14ac:dyDescent="0.25">
      <c r="A8" s="54" t="s">
        <v>18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3" ht="15" customHeight="1" x14ac:dyDescent="0.25">
      <c r="A9" s="53" t="s">
        <v>0</v>
      </c>
      <c r="B9" s="53" t="s">
        <v>1</v>
      </c>
      <c r="C9" s="59" t="s">
        <v>2</v>
      </c>
      <c r="D9" s="54" t="s">
        <v>11</v>
      </c>
      <c r="E9" s="54"/>
      <c r="F9" s="54"/>
      <c r="G9" s="54"/>
      <c r="H9" s="54"/>
      <c r="I9" s="54"/>
      <c r="J9" s="54"/>
      <c r="K9" s="54"/>
      <c r="L9" s="54"/>
    </row>
    <row r="10" spans="1:13" x14ac:dyDescent="0.25">
      <c r="A10" s="53"/>
      <c r="B10" s="53"/>
      <c r="C10" s="59"/>
      <c r="D10" s="11">
        <v>1</v>
      </c>
      <c r="E10" s="11">
        <v>2</v>
      </c>
      <c r="F10" s="11">
        <v>3</v>
      </c>
      <c r="G10" s="11">
        <v>4</v>
      </c>
      <c r="H10" s="11">
        <v>5</v>
      </c>
      <c r="I10" s="11">
        <v>6</v>
      </c>
      <c r="J10" s="11">
        <v>7</v>
      </c>
      <c r="K10" s="11">
        <v>8</v>
      </c>
      <c r="L10" s="11" t="s">
        <v>17</v>
      </c>
    </row>
    <row r="11" spans="1:13" x14ac:dyDescent="0.25">
      <c r="A11" s="55" t="s">
        <v>10</v>
      </c>
      <c r="B11" s="56">
        <v>0</v>
      </c>
      <c r="C11" s="1" t="s">
        <v>3</v>
      </c>
      <c r="D11" s="1">
        <v>160</v>
      </c>
      <c r="E11" s="1">
        <v>166</v>
      </c>
      <c r="F11" s="1">
        <v>220</v>
      </c>
      <c r="G11" s="1">
        <v>271</v>
      </c>
      <c r="H11" s="1">
        <v>210</v>
      </c>
      <c r="I11" s="1">
        <v>188</v>
      </c>
      <c r="J11" s="12">
        <v>161</v>
      </c>
      <c r="K11" s="12">
        <v>170</v>
      </c>
      <c r="L11" s="64"/>
      <c r="M11" s="7"/>
    </row>
    <row r="12" spans="1:13" x14ac:dyDescent="0.25">
      <c r="A12" s="55"/>
      <c r="B12" s="57"/>
      <c r="C12" s="1" t="s">
        <v>4</v>
      </c>
      <c r="D12" s="1"/>
      <c r="E12" s="1"/>
      <c r="F12" s="1"/>
      <c r="G12" s="1"/>
      <c r="H12" s="1"/>
      <c r="I12" s="1"/>
      <c r="J12" s="12"/>
      <c r="K12" s="12"/>
      <c r="L12" s="64"/>
    </row>
    <row r="13" spans="1:13" x14ac:dyDescent="0.25">
      <c r="A13" s="55"/>
      <c r="B13" s="57"/>
      <c r="C13" s="1" t="s">
        <v>15</v>
      </c>
      <c r="D13" s="1">
        <f>B11</f>
        <v>0</v>
      </c>
      <c r="E13" s="1">
        <f>D15-D14</f>
        <v>280</v>
      </c>
      <c r="F13" s="1">
        <f>E13-E11</f>
        <v>114</v>
      </c>
      <c r="G13" s="1">
        <f>F15-F14</f>
        <v>334</v>
      </c>
      <c r="H13" s="1">
        <f>G13-G11</f>
        <v>63</v>
      </c>
      <c r="I13" s="1">
        <f>H15-H14</f>
        <v>293</v>
      </c>
      <c r="J13" s="12">
        <f>I13-I11</f>
        <v>105</v>
      </c>
      <c r="K13" s="12">
        <f>J15-J14</f>
        <v>384</v>
      </c>
      <c r="L13" s="64"/>
    </row>
    <row r="14" spans="1:13" x14ac:dyDescent="0.25">
      <c r="A14" s="55"/>
      <c r="B14" s="57"/>
      <c r="C14" s="1" t="s">
        <v>5</v>
      </c>
      <c r="D14" s="1">
        <f>D11-D13</f>
        <v>160</v>
      </c>
      <c r="E14" s="1">
        <v>0</v>
      </c>
      <c r="F14" s="1">
        <f>F11-F13</f>
        <v>106</v>
      </c>
      <c r="G14" s="1">
        <v>0</v>
      </c>
      <c r="H14" s="1">
        <f>H11-H13</f>
        <v>147</v>
      </c>
      <c r="I14" s="1">
        <v>0</v>
      </c>
      <c r="J14" s="12">
        <f>J11-J13</f>
        <v>56</v>
      </c>
      <c r="K14" s="12">
        <v>0</v>
      </c>
      <c r="L14" s="64"/>
    </row>
    <row r="15" spans="1:13" x14ac:dyDescent="0.25">
      <c r="A15" s="55"/>
      <c r="B15" s="57"/>
      <c r="C15" s="1" t="s">
        <v>6</v>
      </c>
      <c r="D15" s="50">
        <v>440</v>
      </c>
      <c r="E15" s="1"/>
      <c r="F15" s="50">
        <v>440</v>
      </c>
      <c r="G15" s="1"/>
      <c r="H15" s="50">
        <v>440</v>
      </c>
      <c r="I15" s="1"/>
      <c r="J15" s="12">
        <v>440</v>
      </c>
      <c r="K15" s="12"/>
      <c r="L15" s="64"/>
    </row>
    <row r="16" spans="1:13" x14ac:dyDescent="0.25">
      <c r="A16" s="55"/>
      <c r="B16" s="57"/>
      <c r="C16" s="1" t="s">
        <v>7</v>
      </c>
      <c r="D16" s="1"/>
      <c r="E16" s="50">
        <v>440</v>
      </c>
      <c r="F16" s="1"/>
      <c r="G16" s="50">
        <v>440</v>
      </c>
      <c r="H16" s="1"/>
      <c r="I16" s="1">
        <v>440</v>
      </c>
      <c r="J16" s="12"/>
      <c r="K16" s="12"/>
      <c r="L16" s="64"/>
    </row>
    <row r="17" spans="1:12" x14ac:dyDescent="0.25">
      <c r="A17" s="55"/>
      <c r="B17" s="57"/>
      <c r="C17" s="1" t="s">
        <v>9</v>
      </c>
      <c r="D17" s="5">
        <f>D13*$B$1</f>
        <v>0</v>
      </c>
      <c r="E17" s="5">
        <f t="shared" ref="E17:K17" si="0">E13*$B$1</f>
        <v>140</v>
      </c>
      <c r="F17" s="5">
        <f t="shared" si="0"/>
        <v>57</v>
      </c>
      <c r="G17" s="5">
        <f t="shared" si="0"/>
        <v>167</v>
      </c>
      <c r="H17" s="5">
        <f t="shared" si="0"/>
        <v>31.5</v>
      </c>
      <c r="I17" s="5">
        <f t="shared" si="0"/>
        <v>146.5</v>
      </c>
      <c r="J17" s="5">
        <f t="shared" si="0"/>
        <v>52.5</v>
      </c>
      <c r="K17" s="5">
        <f t="shared" si="0"/>
        <v>192</v>
      </c>
      <c r="L17" s="16">
        <f>SUM(D17:K17)</f>
        <v>786.5</v>
      </c>
    </row>
    <row r="18" spans="1:12" x14ac:dyDescent="0.25">
      <c r="A18" s="55"/>
      <c r="B18" s="57"/>
      <c r="C18" s="1" t="s">
        <v>14</v>
      </c>
      <c r="D18" s="5">
        <f>IF(D16&gt;0,1*$B$2,0)</f>
        <v>0</v>
      </c>
      <c r="E18" s="5">
        <f t="shared" ref="E18:K18" si="1">IF(E16&gt;0,1*$B$2,0)</f>
        <v>250</v>
      </c>
      <c r="F18" s="5">
        <f t="shared" si="1"/>
        <v>0</v>
      </c>
      <c r="G18" s="5">
        <f t="shared" si="1"/>
        <v>250</v>
      </c>
      <c r="H18" s="5">
        <f t="shared" si="1"/>
        <v>0</v>
      </c>
      <c r="I18" s="5">
        <f t="shared" si="1"/>
        <v>250</v>
      </c>
      <c r="J18" s="5">
        <f t="shared" si="1"/>
        <v>0</v>
      </c>
      <c r="K18" s="5">
        <f t="shared" si="1"/>
        <v>0</v>
      </c>
      <c r="L18" s="16">
        <f>SUM(D18:K18)</f>
        <v>750</v>
      </c>
    </row>
    <row r="19" spans="1:12" x14ac:dyDescent="0.25">
      <c r="A19" s="55"/>
      <c r="B19" s="58"/>
      <c r="C19" s="3" t="s">
        <v>13</v>
      </c>
      <c r="D19" s="6">
        <f>D17+D18</f>
        <v>0</v>
      </c>
      <c r="E19" s="6">
        <f t="shared" ref="E19:L19" si="2">E17+E18</f>
        <v>390</v>
      </c>
      <c r="F19" s="6">
        <f t="shared" si="2"/>
        <v>57</v>
      </c>
      <c r="G19" s="6">
        <f t="shared" si="2"/>
        <v>417</v>
      </c>
      <c r="H19" s="6">
        <f t="shared" si="2"/>
        <v>31.5</v>
      </c>
      <c r="I19" s="6">
        <f t="shared" si="2"/>
        <v>396.5</v>
      </c>
      <c r="J19" s="6">
        <f t="shared" si="2"/>
        <v>52.5</v>
      </c>
      <c r="K19" s="6">
        <f t="shared" si="2"/>
        <v>192</v>
      </c>
      <c r="L19" s="6">
        <f t="shared" si="2"/>
        <v>1536.5</v>
      </c>
    </row>
  </sheetData>
  <mergeCells count="8">
    <mergeCell ref="A11:A19"/>
    <mergeCell ref="B11:B19"/>
    <mergeCell ref="L11:L16"/>
    <mergeCell ref="A8:L8"/>
    <mergeCell ref="A9:A10"/>
    <mergeCell ref="B9:B10"/>
    <mergeCell ref="C9:C10"/>
    <mergeCell ref="D9:L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zoomScaleNormal="100" workbookViewId="0">
      <selection activeCell="F6" sqref="F6"/>
    </sheetView>
  </sheetViews>
  <sheetFormatPr baseColWidth="10" defaultRowHeight="15" x14ac:dyDescent="0.25"/>
  <cols>
    <col min="1" max="1" width="23.42578125" customWidth="1"/>
    <col min="2" max="2" width="13.5703125" customWidth="1"/>
    <col min="3" max="3" width="28.42578125" bestFit="1" customWidth="1"/>
    <col min="4" max="11" width="9.140625" customWidth="1"/>
    <col min="14" max="14" width="28.7109375" bestFit="1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4" spans="1:12" x14ac:dyDescent="0.25">
      <c r="B4" s="15"/>
    </row>
    <row r="5" spans="1:12" x14ac:dyDescent="0.25">
      <c r="A5" t="s">
        <v>46</v>
      </c>
      <c r="B5" s="15">
        <f>AVERAGE(D14:K14)</f>
        <v>193.25</v>
      </c>
    </row>
    <row r="6" spans="1:12" x14ac:dyDescent="0.25">
      <c r="A6" t="s">
        <v>47</v>
      </c>
      <c r="B6" s="15">
        <f>B5*52</f>
        <v>10049</v>
      </c>
    </row>
    <row r="7" spans="1:12" x14ac:dyDescent="0.25">
      <c r="A7" t="s">
        <v>48</v>
      </c>
      <c r="B7" s="49">
        <f>SQRT((2*B6*B2)/(B1*52))</f>
        <v>439.60209280666533</v>
      </c>
    </row>
    <row r="8" spans="1:12" x14ac:dyDescent="0.25">
      <c r="A8" t="s">
        <v>49</v>
      </c>
      <c r="B8" s="49">
        <f>(($B$6/$B$7)/52)*8</f>
        <v>3.5168167424533228</v>
      </c>
      <c r="C8" t="s">
        <v>49</v>
      </c>
      <c r="D8" s="49">
        <f>SUM(D14:K14)/$B$7</f>
        <v>3.5168167424533228</v>
      </c>
    </row>
    <row r="9" spans="1:12" x14ac:dyDescent="0.25">
      <c r="A9" t="s">
        <v>50</v>
      </c>
      <c r="B9" s="49">
        <f>(8/$B$8)</f>
        <v>2.2747844388443226</v>
      </c>
      <c r="C9" t="s">
        <v>51</v>
      </c>
      <c r="D9" s="49">
        <f>8/$D$8</f>
        <v>2.2747844388443226</v>
      </c>
    </row>
    <row r="10" spans="1:12" x14ac:dyDescent="0.25">
      <c r="B10" s="49"/>
    </row>
    <row r="11" spans="1:12" x14ac:dyDescent="0.25">
      <c r="A11" s="54" t="s">
        <v>19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5">
      <c r="A12" s="53" t="s">
        <v>0</v>
      </c>
      <c r="B12" s="53" t="s">
        <v>1</v>
      </c>
      <c r="C12" s="59" t="s">
        <v>2</v>
      </c>
      <c r="D12" s="54" t="s">
        <v>11</v>
      </c>
      <c r="E12" s="54"/>
      <c r="F12" s="54"/>
      <c r="G12" s="54"/>
      <c r="H12" s="54"/>
      <c r="I12" s="54"/>
      <c r="J12" s="54"/>
      <c r="K12" s="54"/>
      <c r="L12" s="54"/>
    </row>
    <row r="13" spans="1:12" x14ac:dyDescent="0.25">
      <c r="A13" s="53"/>
      <c r="B13" s="53"/>
      <c r="C13" s="59"/>
      <c r="D13" s="11">
        <v>1</v>
      </c>
      <c r="E13" s="11">
        <v>2</v>
      </c>
      <c r="F13" s="11">
        <v>3</v>
      </c>
      <c r="G13" s="11">
        <v>4</v>
      </c>
      <c r="H13" s="11">
        <v>5</v>
      </c>
      <c r="I13" s="11">
        <v>6</v>
      </c>
      <c r="J13" s="11">
        <v>7</v>
      </c>
      <c r="K13" s="11">
        <v>8</v>
      </c>
      <c r="L13" s="11" t="s">
        <v>17</v>
      </c>
    </row>
    <row r="14" spans="1:12" x14ac:dyDescent="0.25">
      <c r="A14" s="55" t="s">
        <v>10</v>
      </c>
      <c r="B14" s="56">
        <v>0</v>
      </c>
      <c r="C14" s="1" t="s">
        <v>3</v>
      </c>
      <c r="D14" s="1">
        <v>160</v>
      </c>
      <c r="E14" s="1">
        <v>166</v>
      </c>
      <c r="F14" s="1">
        <v>220</v>
      </c>
      <c r="G14" s="1">
        <v>271</v>
      </c>
      <c r="H14" s="1">
        <v>210</v>
      </c>
      <c r="I14" s="1">
        <v>188</v>
      </c>
      <c r="J14" s="12">
        <v>161</v>
      </c>
      <c r="K14" s="12">
        <v>170</v>
      </c>
      <c r="L14" s="64"/>
    </row>
    <row r="15" spans="1:12" x14ac:dyDescent="0.25">
      <c r="A15" s="55"/>
      <c r="B15" s="57"/>
      <c r="C15" s="1" t="s">
        <v>4</v>
      </c>
      <c r="D15" s="1"/>
      <c r="E15" s="1"/>
      <c r="F15" s="1"/>
      <c r="G15" s="1"/>
      <c r="H15" s="1"/>
      <c r="I15" s="1"/>
      <c r="J15" s="12"/>
      <c r="K15" s="12"/>
      <c r="L15" s="64"/>
    </row>
    <row r="16" spans="1:12" x14ac:dyDescent="0.25">
      <c r="A16" s="55"/>
      <c r="B16" s="57"/>
      <c r="C16" s="1" t="s">
        <v>15</v>
      </c>
      <c r="D16" s="1">
        <v>0</v>
      </c>
      <c r="E16" s="1">
        <f t="shared" ref="E16:K16" si="0">D18-D17</f>
        <v>166</v>
      </c>
      <c r="F16" s="1">
        <f t="shared" si="0"/>
        <v>0</v>
      </c>
      <c r="G16" s="1">
        <f t="shared" si="0"/>
        <v>271</v>
      </c>
      <c r="H16" s="1">
        <f t="shared" si="0"/>
        <v>0</v>
      </c>
      <c r="I16" s="1">
        <f t="shared" si="0"/>
        <v>188</v>
      </c>
      <c r="J16" s="12">
        <f t="shared" si="0"/>
        <v>0</v>
      </c>
      <c r="K16" s="12">
        <f t="shared" si="0"/>
        <v>170</v>
      </c>
      <c r="L16" s="64"/>
    </row>
    <row r="17" spans="1:13" x14ac:dyDescent="0.25">
      <c r="A17" s="55"/>
      <c r="B17" s="57"/>
      <c r="C17" s="1" t="s">
        <v>5</v>
      </c>
      <c r="D17" s="1">
        <f t="shared" ref="D17:J17" si="1">D14-D16</f>
        <v>160</v>
      </c>
      <c r="E17" s="1">
        <f t="shared" si="1"/>
        <v>0</v>
      </c>
      <c r="F17" s="1">
        <f t="shared" si="1"/>
        <v>220</v>
      </c>
      <c r="G17" s="1">
        <f t="shared" si="1"/>
        <v>0</v>
      </c>
      <c r="H17" s="1">
        <f t="shared" si="1"/>
        <v>210</v>
      </c>
      <c r="I17" s="1">
        <f t="shared" si="1"/>
        <v>0</v>
      </c>
      <c r="J17" s="12">
        <f t="shared" si="1"/>
        <v>161</v>
      </c>
      <c r="K17" s="12">
        <v>0</v>
      </c>
      <c r="L17" s="64"/>
      <c r="M17" s="8"/>
    </row>
    <row r="18" spans="1:13" x14ac:dyDescent="0.25">
      <c r="A18" s="55"/>
      <c r="B18" s="57"/>
      <c r="C18" s="1" t="s">
        <v>6</v>
      </c>
      <c r="D18" s="1">
        <f>D14+E14</f>
        <v>326</v>
      </c>
      <c r="E18" s="1"/>
      <c r="F18" s="1">
        <f>E19</f>
        <v>491</v>
      </c>
      <c r="G18" s="1"/>
      <c r="H18" s="1">
        <f>G19</f>
        <v>398</v>
      </c>
      <c r="I18" s="1"/>
      <c r="J18" s="12">
        <f>I19</f>
        <v>331</v>
      </c>
      <c r="K18" s="12"/>
      <c r="L18" s="64"/>
      <c r="M18" s="9"/>
    </row>
    <row r="19" spans="1:13" x14ac:dyDescent="0.25">
      <c r="A19" s="55"/>
      <c r="B19" s="57"/>
      <c r="C19" s="1" t="s">
        <v>7</v>
      </c>
      <c r="D19" s="1"/>
      <c r="E19" s="1">
        <f>F14+G14</f>
        <v>491</v>
      </c>
      <c r="F19" s="1"/>
      <c r="G19" s="1">
        <f>H14+I14</f>
        <v>398</v>
      </c>
      <c r="H19" s="1"/>
      <c r="I19" s="1">
        <f>J14+K14</f>
        <v>331</v>
      </c>
      <c r="J19" s="12"/>
      <c r="K19" s="12"/>
      <c r="L19" s="64"/>
    </row>
    <row r="20" spans="1:13" x14ac:dyDescent="0.25">
      <c r="A20" s="55"/>
      <c r="B20" s="57"/>
      <c r="C20" s="1" t="s">
        <v>9</v>
      </c>
      <c r="D20" s="5">
        <f>D16*$B$1</f>
        <v>0</v>
      </c>
      <c r="E20" s="5">
        <f t="shared" ref="E20:K20" si="2">E16*$B$1</f>
        <v>83</v>
      </c>
      <c r="F20" s="5">
        <f t="shared" si="2"/>
        <v>0</v>
      </c>
      <c r="G20" s="5">
        <f t="shared" si="2"/>
        <v>135.5</v>
      </c>
      <c r="H20" s="5">
        <f t="shared" si="2"/>
        <v>0</v>
      </c>
      <c r="I20" s="5">
        <f t="shared" si="2"/>
        <v>94</v>
      </c>
      <c r="J20" s="5">
        <f t="shared" si="2"/>
        <v>0</v>
      </c>
      <c r="K20" s="5">
        <f t="shared" si="2"/>
        <v>85</v>
      </c>
      <c r="L20" s="16">
        <f>SUM(D20:K20)</f>
        <v>397.5</v>
      </c>
    </row>
    <row r="21" spans="1:13" x14ac:dyDescent="0.25">
      <c r="A21" s="55"/>
      <c r="B21" s="57"/>
      <c r="C21" s="1" t="s">
        <v>14</v>
      </c>
      <c r="D21" s="5">
        <f>IF(D19&gt;0,1*$B$2,0)</f>
        <v>0</v>
      </c>
      <c r="E21" s="5">
        <f t="shared" ref="E21:K21" si="3">IF(E19&gt;0,1*$B$2,0)</f>
        <v>250</v>
      </c>
      <c r="F21" s="5">
        <f t="shared" si="3"/>
        <v>0</v>
      </c>
      <c r="G21" s="5">
        <f t="shared" si="3"/>
        <v>250</v>
      </c>
      <c r="H21" s="5">
        <f t="shared" si="3"/>
        <v>0</v>
      </c>
      <c r="I21" s="5">
        <f t="shared" si="3"/>
        <v>250</v>
      </c>
      <c r="J21" s="5">
        <f t="shared" si="3"/>
        <v>0</v>
      </c>
      <c r="K21" s="5">
        <f t="shared" si="3"/>
        <v>0</v>
      </c>
      <c r="L21" s="16">
        <f>SUM(D21:K21)</f>
        <v>750</v>
      </c>
    </row>
    <row r="22" spans="1:13" x14ac:dyDescent="0.25">
      <c r="A22" s="55"/>
      <c r="B22" s="58"/>
      <c r="C22" s="3" t="s">
        <v>13</v>
      </c>
      <c r="D22" s="6">
        <f>D20+D21</f>
        <v>0</v>
      </c>
      <c r="E22" s="6">
        <f t="shared" ref="E22:F22" si="4">E20+E21</f>
        <v>333</v>
      </c>
      <c r="F22" s="6">
        <f t="shared" si="4"/>
        <v>0</v>
      </c>
      <c r="G22" s="6">
        <f>G20+G21</f>
        <v>385.5</v>
      </c>
      <c r="H22" s="6">
        <f t="shared" ref="H22:K22" si="5">H20+H21</f>
        <v>0</v>
      </c>
      <c r="I22" s="6">
        <f t="shared" si="5"/>
        <v>344</v>
      </c>
      <c r="J22" s="6">
        <f t="shared" si="5"/>
        <v>0</v>
      </c>
      <c r="K22" s="6">
        <f t="shared" si="5"/>
        <v>85</v>
      </c>
      <c r="L22" s="16">
        <f>SUM(D22:K22)</f>
        <v>1147.5</v>
      </c>
    </row>
    <row r="30" spans="1:13" x14ac:dyDescent="0.25">
      <c r="G30" s="51"/>
    </row>
  </sheetData>
  <mergeCells count="8">
    <mergeCell ref="A14:A22"/>
    <mergeCell ref="B14:B22"/>
    <mergeCell ref="L14:L19"/>
    <mergeCell ref="A11:L11"/>
    <mergeCell ref="A12:A13"/>
    <mergeCell ref="B12:B13"/>
    <mergeCell ref="C12:C13"/>
    <mergeCell ref="D12:L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activeCell="C9" sqref="C9"/>
    </sheetView>
  </sheetViews>
  <sheetFormatPr baseColWidth="10" defaultRowHeight="15" x14ac:dyDescent="0.25"/>
  <cols>
    <col min="1" max="1" width="18" bestFit="1" customWidth="1"/>
    <col min="2" max="2" width="11.140625" customWidth="1"/>
    <col min="3" max="3" width="24.42578125" customWidth="1"/>
    <col min="4" max="5" width="9.85546875" customWidth="1"/>
    <col min="6" max="6" width="10.42578125" customWidth="1"/>
    <col min="7" max="7" width="12.7109375" customWidth="1"/>
    <col min="8" max="8" width="9.85546875" customWidth="1"/>
    <col min="9" max="9" width="10.7109375" customWidth="1"/>
    <col min="10" max="10" width="10.85546875" customWidth="1"/>
    <col min="11" max="11" width="9.85546875" customWidth="1"/>
    <col min="12" max="12" width="11.140625" customWidth="1"/>
    <col min="14" max="14" width="28.7109375" bestFit="1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4" spans="1:12" x14ac:dyDescent="0.25">
      <c r="B4" s="15"/>
      <c r="F4" s="17"/>
    </row>
    <row r="5" spans="1:12" ht="28.5" customHeight="1" x14ac:dyDescent="0.25">
      <c r="D5" s="30" t="s">
        <v>21</v>
      </c>
      <c r="E5" s="30" t="s">
        <v>23</v>
      </c>
      <c r="F5" s="31" t="s">
        <v>1</v>
      </c>
      <c r="G5" s="32" t="s">
        <v>9</v>
      </c>
      <c r="H5" s="30" t="s">
        <v>8</v>
      </c>
      <c r="I5" s="30" t="s">
        <v>22</v>
      </c>
      <c r="J5" s="30" t="s">
        <v>17</v>
      </c>
      <c r="K5" s="65" t="s">
        <v>26</v>
      </c>
      <c r="L5" s="65"/>
    </row>
    <row r="6" spans="1:12" x14ac:dyDescent="0.25">
      <c r="B6" s="15"/>
      <c r="D6" s="12">
        <v>1</v>
      </c>
      <c r="E6" s="12">
        <f>D21</f>
        <v>160</v>
      </c>
      <c r="F6" s="12"/>
      <c r="G6" s="25">
        <f t="shared" ref="G6:G15" si="0">F6*$B$1</f>
        <v>0</v>
      </c>
      <c r="H6" s="16">
        <f t="shared" ref="H6:H15" si="1">$B$2</f>
        <v>250</v>
      </c>
      <c r="I6" s="26">
        <f t="shared" ref="I6:I15" si="2">ABS(H6-G6)</f>
        <v>250</v>
      </c>
      <c r="J6" s="16">
        <f t="shared" ref="J6:J15" si="3">H6+G6</f>
        <v>250</v>
      </c>
      <c r="K6" s="64"/>
      <c r="L6" s="64"/>
    </row>
    <row r="7" spans="1:12" x14ac:dyDescent="0.25">
      <c r="B7" s="15"/>
      <c r="D7" s="27" t="s">
        <v>24</v>
      </c>
      <c r="E7" s="12">
        <f>D21+E21</f>
        <v>326</v>
      </c>
      <c r="F7" s="12">
        <f>E21*1</f>
        <v>166</v>
      </c>
      <c r="G7" s="25">
        <f t="shared" si="0"/>
        <v>83</v>
      </c>
      <c r="H7" s="16">
        <f t="shared" si="1"/>
        <v>250</v>
      </c>
      <c r="I7" s="29">
        <f t="shared" si="2"/>
        <v>167</v>
      </c>
      <c r="J7" s="16">
        <f t="shared" si="3"/>
        <v>333</v>
      </c>
      <c r="K7" s="66"/>
      <c r="L7" s="66"/>
    </row>
    <row r="8" spans="1:12" x14ac:dyDescent="0.25">
      <c r="B8" s="15"/>
      <c r="D8" s="27" t="s">
        <v>25</v>
      </c>
      <c r="E8" s="12">
        <f>D21+E21+F21</f>
        <v>546</v>
      </c>
      <c r="F8" s="12">
        <f>(1*$E$21)+(2*$F$21)</f>
        <v>606</v>
      </c>
      <c r="G8" s="25">
        <f t="shared" si="0"/>
        <v>303</v>
      </c>
      <c r="H8" s="16">
        <f t="shared" si="1"/>
        <v>250</v>
      </c>
      <c r="I8" s="46">
        <f t="shared" si="2"/>
        <v>53</v>
      </c>
      <c r="J8" s="16">
        <f t="shared" si="3"/>
        <v>553</v>
      </c>
      <c r="K8" s="66" t="s">
        <v>41</v>
      </c>
      <c r="L8" s="66"/>
    </row>
    <row r="9" spans="1:12" x14ac:dyDescent="0.25">
      <c r="B9" s="15"/>
      <c r="D9" s="27" t="s">
        <v>37</v>
      </c>
      <c r="E9" s="12">
        <f>D21+E21+F21+G21</f>
        <v>817</v>
      </c>
      <c r="F9" s="12">
        <f>(1*$E$21)+(2*$F$21)+(3*$G$21)</f>
        <v>1419</v>
      </c>
      <c r="G9" s="25">
        <f t="shared" ref="G9" si="4">F9*$B$1</f>
        <v>709.5</v>
      </c>
      <c r="H9" s="16">
        <f t="shared" si="1"/>
        <v>250</v>
      </c>
      <c r="I9" s="26">
        <f t="shared" ref="I9" si="5">ABS(H9-G9)</f>
        <v>459.5</v>
      </c>
      <c r="J9" s="16">
        <f t="shared" ref="J9" si="6">H9+G9</f>
        <v>959.5</v>
      </c>
      <c r="K9" s="70" t="s">
        <v>45</v>
      </c>
      <c r="L9" s="71"/>
    </row>
    <row r="10" spans="1:12" x14ac:dyDescent="0.25">
      <c r="B10" s="15"/>
      <c r="D10" s="12">
        <v>4</v>
      </c>
      <c r="E10" s="12">
        <f>G21</f>
        <v>271</v>
      </c>
      <c r="F10" s="12"/>
      <c r="G10" s="25">
        <f t="shared" si="0"/>
        <v>0</v>
      </c>
      <c r="H10" s="16">
        <f t="shared" si="1"/>
        <v>250</v>
      </c>
      <c r="I10" s="26">
        <f t="shared" si="2"/>
        <v>250</v>
      </c>
      <c r="J10" s="16">
        <f t="shared" si="3"/>
        <v>250</v>
      </c>
      <c r="K10" s="66"/>
      <c r="L10" s="66"/>
    </row>
    <row r="11" spans="1:12" x14ac:dyDescent="0.25">
      <c r="B11" s="15"/>
      <c r="D11" s="27" t="s">
        <v>31</v>
      </c>
      <c r="E11" s="12">
        <f>G21+H21</f>
        <v>481</v>
      </c>
      <c r="F11" s="26">
        <f>H21*1</f>
        <v>210</v>
      </c>
      <c r="G11" s="25">
        <f>F11*$B$1</f>
        <v>105</v>
      </c>
      <c r="H11" s="16">
        <f t="shared" si="1"/>
        <v>250</v>
      </c>
      <c r="I11" s="29">
        <f t="shared" si="2"/>
        <v>145</v>
      </c>
      <c r="J11" s="16">
        <f t="shared" si="3"/>
        <v>355</v>
      </c>
      <c r="K11" s="66"/>
      <c r="L11" s="66"/>
    </row>
    <row r="12" spans="1:12" x14ac:dyDescent="0.25">
      <c r="B12" s="15"/>
      <c r="D12" s="27" t="s">
        <v>42</v>
      </c>
      <c r="E12" s="12">
        <f>G21+H21+I21</f>
        <v>669</v>
      </c>
      <c r="F12" s="12">
        <f>(1*$H$21)+(2*$I$21)</f>
        <v>586</v>
      </c>
      <c r="G12" s="25">
        <f>F12*$B$1</f>
        <v>293</v>
      </c>
      <c r="H12" s="16">
        <f t="shared" si="1"/>
        <v>250</v>
      </c>
      <c r="I12" s="46">
        <f t="shared" ref="I12" si="7">ABS(H12-G12)</f>
        <v>43</v>
      </c>
      <c r="J12" s="16">
        <f t="shared" ref="J12" si="8">H12+G12</f>
        <v>543</v>
      </c>
      <c r="K12" s="66" t="s">
        <v>43</v>
      </c>
      <c r="L12" s="66"/>
    </row>
    <row r="13" spans="1:12" x14ac:dyDescent="0.25">
      <c r="B13" s="15"/>
      <c r="D13" s="27" t="s">
        <v>44</v>
      </c>
      <c r="E13" s="12">
        <f>G21+H21+I21+J21</f>
        <v>830</v>
      </c>
      <c r="F13" s="12">
        <f>(1*$H$21)+(2*$I$21)+(3*$J$21)</f>
        <v>1069</v>
      </c>
      <c r="G13" s="25">
        <f>F13*$B$1</f>
        <v>534.5</v>
      </c>
      <c r="H13" s="16">
        <f t="shared" si="1"/>
        <v>250</v>
      </c>
      <c r="I13" s="29">
        <f t="shared" ref="I13" si="9">ABS(H13-G13)</f>
        <v>284.5</v>
      </c>
      <c r="J13" s="16">
        <f t="shared" ref="J13" si="10">H13+G13</f>
        <v>784.5</v>
      </c>
      <c r="K13" s="70" t="s">
        <v>45</v>
      </c>
      <c r="L13" s="71"/>
    </row>
    <row r="14" spans="1:12" x14ac:dyDescent="0.25">
      <c r="B14" s="15"/>
      <c r="D14" s="27">
        <v>7</v>
      </c>
      <c r="E14" s="12">
        <f>J21</f>
        <v>161</v>
      </c>
      <c r="F14" s="26"/>
      <c r="G14" s="25">
        <f t="shared" si="0"/>
        <v>0</v>
      </c>
      <c r="H14" s="16">
        <f t="shared" si="1"/>
        <v>250</v>
      </c>
      <c r="I14" s="26">
        <f t="shared" ref="I14" si="11">ABS(H14-G14)</f>
        <v>250</v>
      </c>
      <c r="J14" s="16">
        <f t="shared" ref="J14" si="12">H14+G14</f>
        <v>250</v>
      </c>
      <c r="K14" s="66"/>
      <c r="L14" s="66"/>
    </row>
    <row r="15" spans="1:12" x14ac:dyDescent="0.25">
      <c r="B15" s="15"/>
      <c r="D15" s="27" t="s">
        <v>27</v>
      </c>
      <c r="E15" s="12">
        <f>J21+K21</f>
        <v>331</v>
      </c>
      <c r="F15" s="12">
        <f>K21*1</f>
        <v>170</v>
      </c>
      <c r="G15" s="25">
        <f t="shared" si="0"/>
        <v>85</v>
      </c>
      <c r="H15" s="16">
        <f t="shared" si="1"/>
        <v>250</v>
      </c>
      <c r="I15" s="28">
        <f t="shared" si="2"/>
        <v>165</v>
      </c>
      <c r="J15" s="16">
        <f t="shared" si="3"/>
        <v>335</v>
      </c>
      <c r="K15" s="66" t="s">
        <v>28</v>
      </c>
      <c r="L15" s="66"/>
    </row>
    <row r="16" spans="1:12" x14ac:dyDescent="0.25">
      <c r="E16" s="68" t="s">
        <v>17</v>
      </c>
      <c r="F16" s="68"/>
      <c r="G16" s="25">
        <f>SUM(G8+G12+G15)</f>
        <v>681</v>
      </c>
      <c r="H16" s="25">
        <f>SUM(H8+H12+H15)</f>
        <v>750</v>
      </c>
      <c r="I16" s="25">
        <f>G16+H16</f>
        <v>1431</v>
      </c>
      <c r="J16" s="69"/>
      <c r="K16" s="69"/>
      <c r="L16" s="69"/>
    </row>
    <row r="17" spans="1:12" x14ac:dyDescent="0.25">
      <c r="D17" s="18"/>
      <c r="G17" s="17"/>
      <c r="H17" s="35"/>
      <c r="I17" s="38"/>
      <c r="J17" s="35"/>
    </row>
    <row r="18" spans="1:12" x14ac:dyDescent="0.25">
      <c r="A18" s="54" t="s">
        <v>20</v>
      </c>
      <c r="B18" s="54"/>
      <c r="C18" s="54"/>
      <c r="D18" s="54"/>
      <c r="E18" s="54"/>
      <c r="F18" s="54"/>
      <c r="G18" s="54"/>
      <c r="H18" s="67"/>
      <c r="I18" s="67"/>
      <c r="J18" s="67"/>
      <c r="K18" s="54"/>
      <c r="L18" s="54"/>
    </row>
    <row r="19" spans="1:12" x14ac:dyDescent="0.25">
      <c r="A19" s="53" t="s">
        <v>0</v>
      </c>
      <c r="B19" s="53" t="s">
        <v>1</v>
      </c>
      <c r="C19" s="59" t="s">
        <v>2</v>
      </c>
      <c r="D19" s="54" t="s">
        <v>11</v>
      </c>
      <c r="E19" s="54"/>
      <c r="F19" s="54"/>
      <c r="G19" s="54"/>
      <c r="H19" s="54"/>
      <c r="I19" s="54"/>
      <c r="J19" s="54"/>
      <c r="K19" s="54"/>
      <c r="L19" s="54"/>
    </row>
    <row r="20" spans="1:12" x14ac:dyDescent="0.25">
      <c r="A20" s="53"/>
      <c r="B20" s="53"/>
      <c r="C20" s="59"/>
      <c r="D20" s="11">
        <v>1</v>
      </c>
      <c r="E20" s="11">
        <v>2</v>
      </c>
      <c r="F20" s="11">
        <v>3</v>
      </c>
      <c r="G20" s="11">
        <v>4</v>
      </c>
      <c r="H20" s="11">
        <v>5</v>
      </c>
      <c r="I20" s="11">
        <v>6</v>
      </c>
      <c r="J20" s="11">
        <v>7</v>
      </c>
      <c r="K20" s="11">
        <v>8</v>
      </c>
      <c r="L20" s="11" t="s">
        <v>17</v>
      </c>
    </row>
    <row r="21" spans="1:12" x14ac:dyDescent="0.25">
      <c r="A21" s="63" t="s">
        <v>10</v>
      </c>
      <c r="B21" s="56">
        <v>0</v>
      </c>
      <c r="C21" s="1" t="s">
        <v>3</v>
      </c>
      <c r="D21" s="1">
        <v>160</v>
      </c>
      <c r="E21" s="1">
        <v>166</v>
      </c>
      <c r="F21" s="1">
        <v>220</v>
      </c>
      <c r="G21" s="1">
        <v>271</v>
      </c>
      <c r="H21" s="1">
        <v>210</v>
      </c>
      <c r="I21" s="1">
        <v>188</v>
      </c>
      <c r="J21" s="12">
        <v>161</v>
      </c>
      <c r="K21" s="12">
        <v>170</v>
      </c>
      <c r="L21" s="64"/>
    </row>
    <row r="22" spans="1:12" x14ac:dyDescent="0.25">
      <c r="A22" s="63"/>
      <c r="B22" s="57"/>
      <c r="C22" s="1" t="s">
        <v>4</v>
      </c>
      <c r="D22" s="1"/>
      <c r="E22" s="1"/>
      <c r="F22" s="1"/>
      <c r="G22" s="1"/>
      <c r="H22" s="1"/>
      <c r="I22" s="1"/>
      <c r="J22" s="12"/>
      <c r="K22" s="12"/>
      <c r="L22" s="64"/>
    </row>
    <row r="23" spans="1:12" x14ac:dyDescent="0.25">
      <c r="A23" s="63"/>
      <c r="B23" s="57"/>
      <c r="C23" s="1" t="s">
        <v>15</v>
      </c>
      <c r="D23" s="1">
        <f>B21</f>
        <v>0</v>
      </c>
      <c r="E23" s="1">
        <f>D25-D24</f>
        <v>386</v>
      </c>
      <c r="F23" s="1">
        <f>E23-E21</f>
        <v>220</v>
      </c>
      <c r="G23" s="1">
        <f>F25-F24</f>
        <v>0</v>
      </c>
      <c r="H23" s="1">
        <f>G25-G24</f>
        <v>398</v>
      </c>
      <c r="I23" s="1">
        <f>H23-H21</f>
        <v>188</v>
      </c>
      <c r="J23" s="12">
        <f>I23-I21</f>
        <v>0</v>
      </c>
      <c r="K23" s="1">
        <f>J25-J24</f>
        <v>170</v>
      </c>
      <c r="L23" s="64"/>
    </row>
    <row r="24" spans="1:12" x14ac:dyDescent="0.25">
      <c r="A24" s="63"/>
      <c r="B24" s="57"/>
      <c r="C24" s="1" t="s">
        <v>5</v>
      </c>
      <c r="D24" s="1">
        <f>D21-D23</f>
        <v>160</v>
      </c>
      <c r="E24" s="1">
        <v>0</v>
      </c>
      <c r="F24" s="1">
        <f>F21-F23</f>
        <v>0</v>
      </c>
      <c r="G24" s="1">
        <f>G21-G23</f>
        <v>271</v>
      </c>
      <c r="H24" s="1">
        <v>0</v>
      </c>
      <c r="I24" s="1">
        <v>0</v>
      </c>
      <c r="J24" s="1">
        <f>J21-J23</f>
        <v>161</v>
      </c>
      <c r="K24" s="12">
        <v>0</v>
      </c>
      <c r="L24" s="64"/>
    </row>
    <row r="25" spans="1:12" x14ac:dyDescent="0.25">
      <c r="A25" s="63"/>
      <c r="B25" s="57"/>
      <c r="C25" s="1" t="s">
        <v>6</v>
      </c>
      <c r="D25" s="1">
        <v>546</v>
      </c>
      <c r="E25" s="1"/>
      <c r="F25" s="1"/>
      <c r="G25" s="1">
        <v>669</v>
      </c>
      <c r="H25" s="1"/>
      <c r="I25" s="1"/>
      <c r="J25" s="12">
        <v>331</v>
      </c>
      <c r="K25" s="12"/>
      <c r="L25" s="64"/>
    </row>
    <row r="26" spans="1:12" x14ac:dyDescent="0.25">
      <c r="A26" s="63"/>
      <c r="B26" s="57"/>
      <c r="C26" s="1" t="s">
        <v>7</v>
      </c>
      <c r="D26" s="1"/>
      <c r="E26" s="1"/>
      <c r="F26" s="1">
        <v>669</v>
      </c>
      <c r="G26" s="1"/>
      <c r="H26" s="1"/>
      <c r="I26" s="1">
        <v>331</v>
      </c>
      <c r="J26" s="12"/>
      <c r="K26" s="12"/>
      <c r="L26" s="64"/>
    </row>
    <row r="27" spans="1:12" x14ac:dyDescent="0.25">
      <c r="A27" s="63"/>
      <c r="B27" s="57"/>
      <c r="C27" s="1" t="s">
        <v>9</v>
      </c>
      <c r="D27" s="5">
        <f>D23*$B$1</f>
        <v>0</v>
      </c>
      <c r="E27" s="37">
        <f t="shared" ref="E27:K27" si="13">E23*$B$1</f>
        <v>193</v>
      </c>
      <c r="F27" s="5">
        <f t="shared" si="13"/>
        <v>110</v>
      </c>
      <c r="G27" s="37">
        <f t="shared" si="13"/>
        <v>0</v>
      </c>
      <c r="H27" s="5">
        <f t="shared" si="13"/>
        <v>199</v>
      </c>
      <c r="I27" s="37">
        <f t="shared" si="13"/>
        <v>94</v>
      </c>
      <c r="J27" s="5">
        <f t="shared" si="13"/>
        <v>0</v>
      </c>
      <c r="K27" s="37">
        <f t="shared" si="13"/>
        <v>85</v>
      </c>
      <c r="L27" s="16">
        <f>SUM(D27:K27)</f>
        <v>681</v>
      </c>
    </row>
    <row r="28" spans="1:12" x14ac:dyDescent="0.25">
      <c r="A28" s="63"/>
      <c r="B28" s="57"/>
      <c r="C28" s="1" t="s">
        <v>14</v>
      </c>
      <c r="D28" s="5">
        <f>IF(D26&gt;0,1*$B$2,0)</f>
        <v>0</v>
      </c>
      <c r="E28" s="5">
        <f t="shared" ref="E28:J28" si="14">IF(E26&gt;0,1*$B$2,0)</f>
        <v>0</v>
      </c>
      <c r="F28" s="5">
        <f t="shared" si="14"/>
        <v>250</v>
      </c>
      <c r="G28" s="5">
        <f t="shared" si="14"/>
        <v>0</v>
      </c>
      <c r="H28" s="5">
        <f t="shared" si="14"/>
        <v>0</v>
      </c>
      <c r="I28" s="5">
        <f t="shared" si="14"/>
        <v>250</v>
      </c>
      <c r="J28" s="5">
        <f t="shared" si="14"/>
        <v>0</v>
      </c>
      <c r="K28" s="5"/>
      <c r="L28" s="16">
        <f>SUM(D28:K28)</f>
        <v>500</v>
      </c>
    </row>
    <row r="29" spans="1:12" x14ac:dyDescent="0.25">
      <c r="A29" s="63"/>
      <c r="B29" s="58"/>
      <c r="C29" s="3" t="s">
        <v>13</v>
      </c>
      <c r="D29" s="6">
        <f>D27+D28</f>
        <v>0</v>
      </c>
      <c r="E29" s="6">
        <f t="shared" ref="E29:F29" si="15">E27+E28</f>
        <v>193</v>
      </c>
      <c r="F29" s="6">
        <f t="shared" si="15"/>
        <v>360</v>
      </c>
      <c r="G29" s="6">
        <f>G27+G28</f>
        <v>0</v>
      </c>
      <c r="H29" s="6">
        <f t="shared" ref="H29:K29" si="16">H27+H28</f>
        <v>199</v>
      </c>
      <c r="I29" s="6">
        <f t="shared" si="16"/>
        <v>344</v>
      </c>
      <c r="J29" s="6">
        <f t="shared" si="16"/>
        <v>0</v>
      </c>
      <c r="K29" s="6">
        <f t="shared" si="16"/>
        <v>85</v>
      </c>
      <c r="L29" s="25">
        <f>SUM(D29:K29)</f>
        <v>1181</v>
      </c>
    </row>
    <row r="30" spans="1:12" x14ac:dyDescent="0.25"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C31" s="2"/>
    </row>
    <row r="32" spans="1:12" x14ac:dyDescent="0.25">
      <c r="C32" s="24"/>
      <c r="D32" s="24"/>
      <c r="E32" s="21"/>
      <c r="L32" s="24"/>
    </row>
    <row r="33" spans="3:18" ht="30.75" customHeight="1" x14ac:dyDescent="0.25">
      <c r="C33" s="2"/>
      <c r="D33" s="24"/>
    </row>
    <row r="34" spans="3:18" x14ac:dyDescent="0.25">
      <c r="C34" s="24"/>
      <c r="D34" s="23"/>
      <c r="M34" s="22"/>
      <c r="P34" s="9"/>
      <c r="Q34" s="9"/>
      <c r="R34" s="19"/>
    </row>
    <row r="35" spans="3:18" x14ac:dyDescent="0.25">
      <c r="C35" s="24"/>
      <c r="D35" s="23"/>
      <c r="M35" s="22"/>
      <c r="O35" s="17"/>
      <c r="P35" s="9"/>
      <c r="Q35" s="9"/>
      <c r="R35" s="19"/>
    </row>
    <row r="36" spans="3:18" x14ac:dyDescent="0.25">
      <c r="C36" s="24"/>
      <c r="D36" s="23"/>
      <c r="M36" s="22"/>
      <c r="O36" s="17"/>
      <c r="P36" s="9"/>
      <c r="Q36" s="9"/>
      <c r="R36" s="19"/>
    </row>
    <row r="37" spans="3:18" x14ac:dyDescent="0.25">
      <c r="C37" s="24"/>
      <c r="D37" s="23"/>
    </row>
    <row r="38" spans="3:18" x14ac:dyDescent="0.25">
      <c r="C38" s="24"/>
      <c r="D38" s="23"/>
      <c r="M38" s="22"/>
      <c r="O38" s="17"/>
      <c r="P38" s="9"/>
      <c r="Q38" s="9"/>
      <c r="R38" s="19"/>
    </row>
    <row r="39" spans="3:18" x14ac:dyDescent="0.25">
      <c r="C39" s="24"/>
      <c r="D39" s="23"/>
      <c r="M39" s="22"/>
      <c r="O39" s="17"/>
      <c r="P39" s="9"/>
      <c r="Q39" s="9"/>
      <c r="R39" s="19"/>
    </row>
    <row r="40" spans="3:18" x14ac:dyDescent="0.25">
      <c r="C40" s="24"/>
      <c r="D40" s="23"/>
      <c r="M40" s="22"/>
      <c r="O40" s="17"/>
      <c r="P40" s="9"/>
      <c r="Q40" s="9"/>
      <c r="R40" s="19"/>
    </row>
    <row r="41" spans="3:18" x14ac:dyDescent="0.25">
      <c r="C41" s="24"/>
      <c r="D41" s="23"/>
      <c r="M41" s="22"/>
      <c r="O41" s="17"/>
      <c r="P41" s="9"/>
      <c r="Q41" s="9"/>
      <c r="R41" s="19"/>
    </row>
    <row r="42" spans="3:18" x14ac:dyDescent="0.25">
      <c r="C42" s="24"/>
      <c r="D42" s="23"/>
    </row>
    <row r="43" spans="3:18" x14ac:dyDescent="0.25">
      <c r="C43" s="24"/>
      <c r="D43" s="24"/>
    </row>
    <row r="44" spans="3:18" x14ac:dyDescent="0.25">
      <c r="C44" s="24"/>
      <c r="D44" s="24"/>
    </row>
    <row r="45" spans="3:18" x14ac:dyDescent="0.25">
      <c r="L45" s="24"/>
    </row>
  </sheetData>
  <mergeCells count="21">
    <mergeCell ref="B19:B20"/>
    <mergeCell ref="C19:C20"/>
    <mergeCell ref="D19:L19"/>
    <mergeCell ref="K9:L9"/>
    <mergeCell ref="K13:L13"/>
    <mergeCell ref="A21:A29"/>
    <mergeCell ref="B21:B29"/>
    <mergeCell ref="L21:L26"/>
    <mergeCell ref="K5:L5"/>
    <mergeCell ref="K6:L6"/>
    <mergeCell ref="K7:L7"/>
    <mergeCell ref="K8:L8"/>
    <mergeCell ref="K10:L10"/>
    <mergeCell ref="K11:L11"/>
    <mergeCell ref="K12:L12"/>
    <mergeCell ref="K14:L14"/>
    <mergeCell ref="K15:L15"/>
    <mergeCell ref="A18:L18"/>
    <mergeCell ref="E16:F16"/>
    <mergeCell ref="J16:L16"/>
    <mergeCell ref="A19:A2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workbookViewId="0">
      <selection sqref="A1:XFD1"/>
    </sheetView>
  </sheetViews>
  <sheetFormatPr baseColWidth="10" defaultRowHeight="15" x14ac:dyDescent="0.25"/>
  <cols>
    <col min="1" max="1" width="18" bestFit="1" customWidth="1"/>
    <col min="2" max="2" width="11.140625" customWidth="1"/>
    <col min="3" max="3" width="24.42578125" customWidth="1"/>
    <col min="4" max="11" width="9.28515625" customWidth="1"/>
    <col min="12" max="12" width="11.140625" customWidth="1"/>
    <col min="14" max="14" width="28.7109375" bestFit="1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4" spans="1:12" x14ac:dyDescent="0.25">
      <c r="B4" s="15"/>
      <c r="F4" s="17"/>
    </row>
    <row r="5" spans="1:12" ht="28.5" customHeight="1" x14ac:dyDescent="0.25">
      <c r="D5" s="30" t="s">
        <v>21</v>
      </c>
      <c r="E5" s="30" t="s">
        <v>23</v>
      </c>
      <c r="F5" s="31" t="s">
        <v>1</v>
      </c>
      <c r="G5" s="32" t="s">
        <v>9</v>
      </c>
      <c r="H5" s="30" t="s">
        <v>8</v>
      </c>
      <c r="I5" s="30" t="s">
        <v>17</v>
      </c>
      <c r="J5" s="41" t="s">
        <v>30</v>
      </c>
      <c r="K5" s="65" t="s">
        <v>26</v>
      </c>
      <c r="L5" s="65"/>
    </row>
    <row r="6" spans="1:12" x14ac:dyDescent="0.25">
      <c r="B6" s="15"/>
      <c r="D6" s="12">
        <v>1</v>
      </c>
      <c r="E6" s="12">
        <f>D22</f>
        <v>160</v>
      </c>
      <c r="F6" s="12"/>
      <c r="G6" s="25">
        <f t="shared" ref="G6:G16" si="0">F6*$B$1</f>
        <v>0</v>
      </c>
      <c r="H6" s="16">
        <f t="shared" ref="H6:H16" si="1">$B$2</f>
        <v>250</v>
      </c>
      <c r="I6" s="16">
        <f t="shared" ref="I6:I16" si="2">H6+G6</f>
        <v>250</v>
      </c>
      <c r="J6" s="25">
        <f>I6/E6</f>
        <v>1.5625</v>
      </c>
      <c r="K6" s="72"/>
      <c r="L6" s="72"/>
    </row>
    <row r="7" spans="1:12" x14ac:dyDescent="0.25">
      <c r="B7" s="15"/>
      <c r="D7" s="27" t="s">
        <v>24</v>
      </c>
      <c r="E7" s="12">
        <f>D22+E22</f>
        <v>326</v>
      </c>
      <c r="F7" s="12">
        <f>E22*1</f>
        <v>166</v>
      </c>
      <c r="G7" s="25">
        <f t="shared" si="0"/>
        <v>83</v>
      </c>
      <c r="H7" s="16">
        <f t="shared" si="1"/>
        <v>250</v>
      </c>
      <c r="I7" s="16">
        <f t="shared" si="2"/>
        <v>333</v>
      </c>
      <c r="J7" s="44">
        <f t="shared" ref="J7:J16" si="3">I7/E7</f>
        <v>1.0214723926380369</v>
      </c>
      <c r="K7" s="72"/>
      <c r="L7" s="72"/>
    </row>
    <row r="8" spans="1:12" x14ac:dyDescent="0.25">
      <c r="B8" s="15"/>
      <c r="D8" s="27" t="s">
        <v>36</v>
      </c>
      <c r="E8" s="12">
        <f>D22+E22+F22</f>
        <v>546</v>
      </c>
      <c r="F8" s="12">
        <f>(1*$E$22)+(2*$F$22)</f>
        <v>606</v>
      </c>
      <c r="G8" s="25">
        <f t="shared" si="0"/>
        <v>303</v>
      </c>
      <c r="H8" s="16">
        <f t="shared" si="1"/>
        <v>250</v>
      </c>
      <c r="I8" s="16">
        <f t="shared" si="2"/>
        <v>553</v>
      </c>
      <c r="J8" s="43">
        <f t="shared" si="3"/>
        <v>1.0128205128205128</v>
      </c>
      <c r="K8" s="72" t="s">
        <v>33</v>
      </c>
      <c r="L8" s="72"/>
    </row>
    <row r="9" spans="1:12" x14ac:dyDescent="0.25">
      <c r="B9" s="15"/>
      <c r="D9" s="27" t="s">
        <v>37</v>
      </c>
      <c r="E9" s="12">
        <f>D22+E22+F22+G22</f>
        <v>817</v>
      </c>
      <c r="F9" s="12">
        <f>(1*$E$22)+(2*$F$22)+(3*$G$22)</f>
        <v>1419</v>
      </c>
      <c r="G9" s="25">
        <f t="shared" si="0"/>
        <v>709.5</v>
      </c>
      <c r="H9" s="16">
        <f t="shared" si="1"/>
        <v>250</v>
      </c>
      <c r="I9" s="16">
        <f t="shared" si="2"/>
        <v>959.5</v>
      </c>
      <c r="J9" s="44">
        <f t="shared" ref="J9" si="4">I9/E9</f>
        <v>1.1744186046511629</v>
      </c>
      <c r="K9" s="73" t="s">
        <v>45</v>
      </c>
      <c r="L9" s="74"/>
    </row>
    <row r="10" spans="1:12" x14ac:dyDescent="0.25">
      <c r="B10" s="15"/>
      <c r="D10" s="27">
        <v>4</v>
      </c>
      <c r="E10" s="12">
        <f>G22</f>
        <v>271</v>
      </c>
      <c r="F10" s="12"/>
      <c r="G10" s="25">
        <f t="shared" si="0"/>
        <v>0</v>
      </c>
      <c r="H10" s="16">
        <f t="shared" si="1"/>
        <v>250</v>
      </c>
      <c r="I10" s="16">
        <f t="shared" si="2"/>
        <v>250</v>
      </c>
      <c r="J10" s="44">
        <f t="shared" si="3"/>
        <v>0.92250922509225097</v>
      </c>
      <c r="K10" s="72"/>
      <c r="L10" s="72"/>
    </row>
    <row r="11" spans="1:12" x14ac:dyDescent="0.25">
      <c r="B11" s="15"/>
      <c r="D11" s="27" t="s">
        <v>31</v>
      </c>
      <c r="E11" s="12">
        <f>G22+H22</f>
        <v>481</v>
      </c>
      <c r="F11" s="12">
        <f>H22*1</f>
        <v>210</v>
      </c>
      <c r="G11" s="25">
        <f t="shared" si="0"/>
        <v>105</v>
      </c>
      <c r="H11" s="16">
        <f t="shared" si="1"/>
        <v>250</v>
      </c>
      <c r="I11" s="16">
        <f t="shared" si="2"/>
        <v>355</v>
      </c>
      <c r="J11" s="43">
        <f t="shared" ref="J11" si="5">I11/E11</f>
        <v>0.73804573804573803</v>
      </c>
      <c r="K11" s="73" t="s">
        <v>35</v>
      </c>
      <c r="L11" s="74"/>
    </row>
    <row r="12" spans="1:12" x14ac:dyDescent="0.25">
      <c r="B12" s="15"/>
      <c r="D12" s="27" t="s">
        <v>34</v>
      </c>
      <c r="E12" s="12">
        <f>G22+H22+I22</f>
        <v>669</v>
      </c>
      <c r="F12" s="12">
        <f>(1*$H$22)+(2*$I$22)</f>
        <v>586</v>
      </c>
      <c r="G12" s="25">
        <f t="shared" si="0"/>
        <v>293</v>
      </c>
      <c r="H12" s="16">
        <f t="shared" si="1"/>
        <v>250</v>
      </c>
      <c r="I12" s="16">
        <f t="shared" si="2"/>
        <v>543</v>
      </c>
      <c r="J12" s="44">
        <f t="shared" si="3"/>
        <v>0.81165919282511212</v>
      </c>
      <c r="K12" s="72" t="s">
        <v>45</v>
      </c>
      <c r="L12" s="72"/>
    </row>
    <row r="13" spans="1:12" x14ac:dyDescent="0.25">
      <c r="B13" s="15"/>
      <c r="D13" s="27">
        <v>6</v>
      </c>
      <c r="E13" s="12">
        <f>I22</f>
        <v>188</v>
      </c>
      <c r="F13" s="12"/>
      <c r="G13" s="25">
        <f t="shared" si="0"/>
        <v>0</v>
      </c>
      <c r="H13" s="16">
        <f t="shared" si="1"/>
        <v>250</v>
      </c>
      <c r="I13" s="16">
        <f t="shared" si="2"/>
        <v>250</v>
      </c>
      <c r="J13" s="44">
        <f t="shared" ref="J13" si="6">I13/E13</f>
        <v>1.3297872340425532</v>
      </c>
      <c r="K13" s="73"/>
      <c r="L13" s="74"/>
    </row>
    <row r="14" spans="1:12" x14ac:dyDescent="0.25">
      <c r="B14" s="15"/>
      <c r="D14" s="27" t="s">
        <v>32</v>
      </c>
      <c r="E14" s="12">
        <f>I22+J22</f>
        <v>349</v>
      </c>
      <c r="F14" s="12">
        <f>(1*J22)</f>
        <v>161</v>
      </c>
      <c r="G14" s="25">
        <f t="shared" si="0"/>
        <v>80.5</v>
      </c>
      <c r="H14" s="16">
        <f t="shared" si="1"/>
        <v>250</v>
      </c>
      <c r="I14" s="16">
        <f t="shared" si="2"/>
        <v>330.5</v>
      </c>
      <c r="J14" s="43">
        <f t="shared" ref="J14" si="7">I14/E14</f>
        <v>0.94699140401146131</v>
      </c>
      <c r="K14" s="73" t="s">
        <v>39</v>
      </c>
      <c r="L14" s="74"/>
    </row>
    <row r="15" spans="1:12" x14ac:dyDescent="0.25">
      <c r="B15" s="15"/>
      <c r="D15" s="27" t="s">
        <v>38</v>
      </c>
      <c r="E15" s="12">
        <f>I22+J22+K22</f>
        <v>519</v>
      </c>
      <c r="F15" s="12">
        <f>(1*$J$22)+(2*$K$22)</f>
        <v>501</v>
      </c>
      <c r="G15" s="25">
        <f t="shared" si="0"/>
        <v>250.5</v>
      </c>
      <c r="H15" s="16">
        <f t="shared" si="1"/>
        <v>250</v>
      </c>
      <c r="I15" s="16">
        <f t="shared" si="2"/>
        <v>500.5</v>
      </c>
      <c r="J15" s="44">
        <f t="shared" ref="J15" si="8">I15/E15</f>
        <v>0.96435452793834298</v>
      </c>
      <c r="K15" s="47" t="s">
        <v>45</v>
      </c>
      <c r="L15" s="48"/>
    </row>
    <row r="16" spans="1:12" x14ac:dyDescent="0.25">
      <c r="B16" s="15"/>
      <c r="D16" s="27">
        <v>8</v>
      </c>
      <c r="E16" s="12">
        <f>K22</f>
        <v>170</v>
      </c>
      <c r="F16" s="12"/>
      <c r="G16" s="25">
        <f t="shared" si="0"/>
        <v>0</v>
      </c>
      <c r="H16" s="16">
        <f t="shared" si="1"/>
        <v>250</v>
      </c>
      <c r="I16" s="16">
        <f t="shared" si="2"/>
        <v>250</v>
      </c>
      <c r="J16" s="43">
        <f t="shared" si="3"/>
        <v>1.4705882352941178</v>
      </c>
      <c r="K16" s="72" t="s">
        <v>40</v>
      </c>
      <c r="L16" s="72"/>
    </row>
    <row r="17" spans="1:12" x14ac:dyDescent="0.25">
      <c r="B17" s="15"/>
      <c r="D17" s="33"/>
      <c r="E17" s="24"/>
      <c r="F17" s="24"/>
      <c r="G17" s="25">
        <f>G8+G11+G14+G16</f>
        <v>488.5</v>
      </c>
      <c r="H17" s="16">
        <f>H8+H11+H14+H16</f>
        <v>1000</v>
      </c>
      <c r="I17" s="45">
        <f>G17+H17</f>
        <v>1488.5</v>
      </c>
      <c r="J17" s="35"/>
      <c r="K17" s="36"/>
      <c r="L17" s="36"/>
    </row>
    <row r="18" spans="1:12" x14ac:dyDescent="0.25">
      <c r="B18" s="15"/>
      <c r="D18" s="33"/>
      <c r="E18" s="24"/>
      <c r="F18" s="24"/>
      <c r="G18" s="34"/>
      <c r="H18" s="35"/>
      <c r="I18" s="38"/>
      <c r="J18" s="35"/>
      <c r="K18" s="36"/>
      <c r="L18" s="36"/>
    </row>
    <row r="19" spans="1:12" x14ac:dyDescent="0.25">
      <c r="A19" s="54" t="s">
        <v>69</v>
      </c>
      <c r="B19" s="54"/>
      <c r="C19" s="54"/>
      <c r="D19" s="54"/>
      <c r="E19" s="54"/>
      <c r="F19" s="54"/>
      <c r="G19" s="54"/>
      <c r="H19" s="67"/>
      <c r="I19" s="67"/>
      <c r="J19" s="67"/>
      <c r="K19" s="54"/>
      <c r="L19" s="54"/>
    </row>
    <row r="20" spans="1:12" ht="15" customHeight="1" x14ac:dyDescent="0.25">
      <c r="A20" s="53" t="s">
        <v>0</v>
      </c>
      <c r="B20" s="65" t="s">
        <v>1</v>
      </c>
      <c r="C20" s="59" t="s">
        <v>2</v>
      </c>
      <c r="D20" s="54" t="s">
        <v>11</v>
      </c>
      <c r="E20" s="54"/>
      <c r="F20" s="54"/>
      <c r="G20" s="54"/>
      <c r="H20" s="54"/>
      <c r="I20" s="54"/>
      <c r="J20" s="54"/>
      <c r="K20" s="54"/>
      <c r="L20" s="54"/>
    </row>
    <row r="21" spans="1:12" x14ac:dyDescent="0.25">
      <c r="A21" s="53"/>
      <c r="B21" s="75"/>
      <c r="C21" s="59"/>
      <c r="D21" s="20">
        <v>1</v>
      </c>
      <c r="E21" s="20">
        <v>2</v>
      </c>
      <c r="F21" s="20">
        <v>3</v>
      </c>
      <c r="G21" s="20">
        <v>4</v>
      </c>
      <c r="H21" s="20">
        <v>5</v>
      </c>
      <c r="I21" s="20">
        <v>6</v>
      </c>
      <c r="J21" s="20">
        <v>7</v>
      </c>
      <c r="K21" s="20">
        <v>8</v>
      </c>
      <c r="L21" s="20" t="s">
        <v>17</v>
      </c>
    </row>
    <row r="22" spans="1:12" x14ac:dyDescent="0.25">
      <c r="A22" s="63" t="s">
        <v>10</v>
      </c>
      <c r="B22" s="56">
        <v>0</v>
      </c>
      <c r="C22" s="1" t="s">
        <v>3</v>
      </c>
      <c r="D22" s="1">
        <v>160</v>
      </c>
      <c r="E22" s="1">
        <v>166</v>
      </c>
      <c r="F22" s="1">
        <v>220</v>
      </c>
      <c r="G22" s="1">
        <v>271</v>
      </c>
      <c r="H22" s="1">
        <v>210</v>
      </c>
      <c r="I22" s="1">
        <v>188</v>
      </c>
      <c r="J22" s="12">
        <v>161</v>
      </c>
      <c r="K22" s="12">
        <v>170</v>
      </c>
      <c r="L22" s="64"/>
    </row>
    <row r="23" spans="1:12" x14ac:dyDescent="0.25">
      <c r="A23" s="63"/>
      <c r="B23" s="57"/>
      <c r="C23" s="1" t="s">
        <v>4</v>
      </c>
      <c r="D23" s="1"/>
      <c r="E23" s="1"/>
      <c r="F23" s="1"/>
      <c r="G23" s="1"/>
      <c r="H23" s="1"/>
      <c r="I23" s="1"/>
      <c r="J23" s="12"/>
      <c r="K23" s="12"/>
      <c r="L23" s="64"/>
    </row>
    <row r="24" spans="1:12" x14ac:dyDescent="0.25">
      <c r="A24" s="63"/>
      <c r="B24" s="57"/>
      <c r="C24" s="1" t="s">
        <v>15</v>
      </c>
      <c r="D24" s="1">
        <f>B22</f>
        <v>0</v>
      </c>
      <c r="E24" s="1">
        <f>D26-D25</f>
        <v>386</v>
      </c>
      <c r="F24" s="1">
        <f>E24-E22</f>
        <v>220</v>
      </c>
      <c r="G24" s="1">
        <f>F26-F25</f>
        <v>0</v>
      </c>
      <c r="H24" s="1">
        <f>G26-G25</f>
        <v>210</v>
      </c>
      <c r="I24" s="1">
        <f>H26-H25</f>
        <v>0</v>
      </c>
      <c r="J24" s="1">
        <f>I26-I25</f>
        <v>161</v>
      </c>
      <c r="K24" s="1">
        <f>J26-J25</f>
        <v>0</v>
      </c>
      <c r="L24" s="64"/>
    </row>
    <row r="25" spans="1:12" x14ac:dyDescent="0.25">
      <c r="A25" s="63"/>
      <c r="B25" s="57"/>
      <c r="C25" s="1" t="s">
        <v>5</v>
      </c>
      <c r="D25" s="1">
        <f>D22-D24</f>
        <v>160</v>
      </c>
      <c r="E25" s="1">
        <v>0</v>
      </c>
      <c r="F25" s="1">
        <f t="shared" ref="F25:K25" si="9">F22-F24</f>
        <v>0</v>
      </c>
      <c r="G25" s="1">
        <f t="shared" si="9"/>
        <v>271</v>
      </c>
      <c r="H25" s="1">
        <f t="shared" si="9"/>
        <v>0</v>
      </c>
      <c r="I25" s="1">
        <f t="shared" si="9"/>
        <v>188</v>
      </c>
      <c r="J25" s="1">
        <f t="shared" si="9"/>
        <v>0</v>
      </c>
      <c r="K25" s="1">
        <f t="shared" si="9"/>
        <v>170</v>
      </c>
      <c r="L25" s="64"/>
    </row>
    <row r="26" spans="1:12" x14ac:dyDescent="0.25">
      <c r="A26" s="63"/>
      <c r="B26" s="57"/>
      <c r="C26" s="1" t="s">
        <v>6</v>
      </c>
      <c r="D26" s="1">
        <v>546</v>
      </c>
      <c r="E26" s="1"/>
      <c r="F26" s="1"/>
      <c r="G26" s="1">
        <f>F27</f>
        <v>481</v>
      </c>
      <c r="H26" s="1"/>
      <c r="I26" s="1">
        <f>H27</f>
        <v>349</v>
      </c>
      <c r="J26" s="1"/>
      <c r="K26" s="1">
        <v>170</v>
      </c>
      <c r="L26" s="64"/>
    </row>
    <row r="27" spans="1:12" x14ac:dyDescent="0.25">
      <c r="A27" s="63"/>
      <c r="B27" s="57"/>
      <c r="C27" s="1" t="s">
        <v>7</v>
      </c>
      <c r="D27" s="1"/>
      <c r="E27" s="1"/>
      <c r="F27" s="1">
        <v>481</v>
      </c>
      <c r="G27" s="1"/>
      <c r="H27" s="1">
        <v>349</v>
      </c>
      <c r="I27" s="1"/>
      <c r="J27" s="12">
        <v>170</v>
      </c>
      <c r="K27" s="12"/>
      <c r="L27" s="64"/>
    </row>
    <row r="28" spans="1:12" x14ac:dyDescent="0.25">
      <c r="A28" s="63"/>
      <c r="B28" s="57"/>
      <c r="C28" s="1" t="s">
        <v>9</v>
      </c>
      <c r="D28" s="5">
        <f t="shared" ref="D28:K28" si="10">D24*$B$1</f>
        <v>0</v>
      </c>
      <c r="E28" s="37">
        <f t="shared" si="10"/>
        <v>193</v>
      </c>
      <c r="F28" s="5">
        <f t="shared" si="10"/>
        <v>110</v>
      </c>
      <c r="G28" s="37">
        <f t="shared" si="10"/>
        <v>0</v>
      </c>
      <c r="H28" s="5">
        <f t="shared" si="10"/>
        <v>105</v>
      </c>
      <c r="I28" s="37">
        <f t="shared" si="10"/>
        <v>0</v>
      </c>
      <c r="J28" s="5">
        <f t="shared" si="10"/>
        <v>80.5</v>
      </c>
      <c r="K28" s="37">
        <f t="shared" si="10"/>
        <v>0</v>
      </c>
      <c r="L28" s="16">
        <f>SUM(D28:K28)</f>
        <v>488.5</v>
      </c>
    </row>
    <row r="29" spans="1:12" x14ac:dyDescent="0.25">
      <c r="A29" s="63"/>
      <c r="B29" s="57"/>
      <c r="C29" s="1" t="s">
        <v>14</v>
      </c>
      <c r="D29" s="5">
        <f t="shared" ref="D29:J29" si="11">IF(D27&gt;0,1*$B$2,0)</f>
        <v>0</v>
      </c>
      <c r="E29" s="5">
        <f t="shared" si="11"/>
        <v>0</v>
      </c>
      <c r="F29" s="5">
        <f t="shared" si="11"/>
        <v>250</v>
      </c>
      <c r="G29" s="5">
        <f t="shared" si="11"/>
        <v>0</v>
      </c>
      <c r="H29" s="5">
        <f t="shared" si="11"/>
        <v>250</v>
      </c>
      <c r="I29" s="5">
        <f t="shared" si="11"/>
        <v>0</v>
      </c>
      <c r="J29" s="5">
        <f t="shared" si="11"/>
        <v>250</v>
      </c>
      <c r="K29" s="5"/>
      <c r="L29" s="16">
        <f>SUM(D29:K29)</f>
        <v>750</v>
      </c>
    </row>
    <row r="30" spans="1:12" x14ac:dyDescent="0.25">
      <c r="A30" s="63"/>
      <c r="B30" s="58"/>
      <c r="C30" s="3" t="s">
        <v>13</v>
      </c>
      <c r="D30" s="6">
        <f>D28+D29</f>
        <v>0</v>
      </c>
      <c r="E30" s="6">
        <f>E28+E29</f>
        <v>193</v>
      </c>
      <c r="F30" s="6">
        <f>F28+F29</f>
        <v>360</v>
      </c>
      <c r="G30" s="6">
        <f>G28+G29</f>
        <v>0</v>
      </c>
      <c r="H30" s="6">
        <f t="shared" ref="H30:K30" si="12">H28+H29</f>
        <v>355</v>
      </c>
      <c r="I30" s="6">
        <f t="shared" si="12"/>
        <v>0</v>
      </c>
      <c r="J30" s="6">
        <f t="shared" si="12"/>
        <v>330.5</v>
      </c>
      <c r="K30" s="6">
        <f t="shared" si="12"/>
        <v>0</v>
      </c>
      <c r="L30" s="42">
        <f>SUM(D30:K30)</f>
        <v>1238.5</v>
      </c>
    </row>
    <row r="31" spans="1:12" x14ac:dyDescent="0.25"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C32" s="2"/>
    </row>
    <row r="33" spans="3:18" x14ac:dyDescent="0.25">
      <c r="C33" s="24"/>
      <c r="D33" s="24"/>
      <c r="E33" s="21"/>
      <c r="L33" s="24"/>
    </row>
    <row r="34" spans="3:18" ht="30.75" customHeight="1" x14ac:dyDescent="0.25">
      <c r="C34" s="2"/>
      <c r="D34" s="24"/>
    </row>
    <row r="35" spans="3:18" x14ac:dyDescent="0.25">
      <c r="C35" s="24"/>
      <c r="D35" s="23"/>
      <c r="M35" s="22"/>
      <c r="P35" s="9"/>
      <c r="Q35" s="9"/>
      <c r="R35" s="19"/>
    </row>
    <row r="36" spans="3:18" x14ac:dyDescent="0.25">
      <c r="C36" s="24"/>
      <c r="D36" s="23"/>
      <c r="M36" s="22"/>
      <c r="O36" s="17"/>
      <c r="P36" s="9"/>
      <c r="Q36" s="9"/>
      <c r="R36" s="19"/>
    </row>
    <row r="37" spans="3:18" x14ac:dyDescent="0.25">
      <c r="C37" s="24"/>
      <c r="D37" s="23"/>
      <c r="M37" s="22"/>
      <c r="O37" s="17"/>
      <c r="P37" s="9"/>
      <c r="Q37" s="9"/>
      <c r="R37" s="19"/>
    </row>
    <row r="38" spans="3:18" x14ac:dyDescent="0.25">
      <c r="C38" s="24"/>
      <c r="D38" s="23"/>
    </row>
    <row r="39" spans="3:18" x14ac:dyDescent="0.25">
      <c r="C39" s="24"/>
      <c r="D39" s="23"/>
      <c r="M39" s="22"/>
      <c r="O39" s="17"/>
      <c r="P39" s="9"/>
      <c r="Q39" s="9"/>
      <c r="R39" s="19"/>
    </row>
    <row r="40" spans="3:18" x14ac:dyDescent="0.25">
      <c r="C40" s="24"/>
      <c r="D40" s="23"/>
      <c r="M40" s="22"/>
      <c r="O40" s="17"/>
      <c r="P40" s="9"/>
      <c r="Q40" s="9"/>
      <c r="R40" s="19"/>
    </row>
    <row r="41" spans="3:18" x14ac:dyDescent="0.25">
      <c r="C41" s="24"/>
      <c r="D41" s="23"/>
      <c r="M41" s="22"/>
      <c r="O41" s="17"/>
      <c r="P41" s="9"/>
      <c r="Q41" s="9"/>
      <c r="R41" s="19"/>
    </row>
    <row r="42" spans="3:18" x14ac:dyDescent="0.25">
      <c r="C42" s="24"/>
      <c r="D42" s="23"/>
      <c r="M42" s="22"/>
      <c r="O42" s="17"/>
      <c r="P42" s="9"/>
      <c r="Q42" s="9"/>
      <c r="R42" s="19"/>
    </row>
    <row r="43" spans="3:18" x14ac:dyDescent="0.25">
      <c r="C43" s="24"/>
      <c r="D43" s="23"/>
    </row>
    <row r="44" spans="3:18" x14ac:dyDescent="0.25">
      <c r="C44" s="24"/>
      <c r="D44" s="24"/>
    </row>
    <row r="45" spans="3:18" x14ac:dyDescent="0.25">
      <c r="C45" s="24"/>
      <c r="D45" s="24"/>
    </row>
    <row r="46" spans="3:18" x14ac:dyDescent="0.25">
      <c r="L46" s="24"/>
    </row>
  </sheetData>
  <mergeCells count="19">
    <mergeCell ref="A22:A30"/>
    <mergeCell ref="B22:B30"/>
    <mergeCell ref="L22:L27"/>
    <mergeCell ref="K10:L10"/>
    <mergeCell ref="K11:L11"/>
    <mergeCell ref="K13:L13"/>
    <mergeCell ref="K14:L14"/>
    <mergeCell ref="A19:L19"/>
    <mergeCell ref="A20:A21"/>
    <mergeCell ref="B20:B21"/>
    <mergeCell ref="C20:C21"/>
    <mergeCell ref="D20:L20"/>
    <mergeCell ref="K12:L12"/>
    <mergeCell ref="K16:L16"/>
    <mergeCell ref="K5:L5"/>
    <mergeCell ref="K6:L6"/>
    <mergeCell ref="K7:L7"/>
    <mergeCell ref="K8:L8"/>
    <mergeCell ref="K9:L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showGridLines="0" workbookViewId="0">
      <selection sqref="A1:XFD1"/>
    </sheetView>
  </sheetViews>
  <sheetFormatPr baseColWidth="10" defaultRowHeight="15" x14ac:dyDescent="0.25"/>
  <cols>
    <col min="1" max="1" width="18" bestFit="1" customWidth="1"/>
    <col min="2" max="2" width="11.140625" customWidth="1"/>
    <col min="3" max="3" width="24.42578125" customWidth="1"/>
    <col min="4" max="11" width="9.140625" customWidth="1"/>
    <col min="12" max="12" width="10" bestFit="1" customWidth="1"/>
    <col min="14" max="14" width="28.7109375" bestFit="1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4" spans="1:12" x14ac:dyDescent="0.25">
      <c r="B4" s="15"/>
      <c r="F4" s="17"/>
    </row>
    <row r="5" spans="1:12" ht="47.25" customHeight="1" x14ac:dyDescent="0.25">
      <c r="D5" s="40" t="s">
        <v>21</v>
      </c>
      <c r="E5" s="40" t="s">
        <v>23</v>
      </c>
      <c r="F5" s="31" t="s">
        <v>1</v>
      </c>
      <c r="G5" s="32" t="s">
        <v>9</v>
      </c>
      <c r="H5" s="40" t="s">
        <v>8</v>
      </c>
      <c r="I5" s="40" t="s">
        <v>17</v>
      </c>
      <c r="J5" s="41" t="s">
        <v>59</v>
      </c>
      <c r="K5" s="65" t="s">
        <v>26</v>
      </c>
      <c r="L5" s="65"/>
    </row>
    <row r="6" spans="1:12" x14ac:dyDescent="0.25">
      <c r="B6" s="15"/>
      <c r="D6" s="12">
        <v>1</v>
      </c>
      <c r="E6" s="12">
        <f>D21</f>
        <v>160</v>
      </c>
      <c r="F6" s="12"/>
      <c r="G6" s="25">
        <f t="shared" ref="G6:G15" si="0">F6*$B$1</f>
        <v>0</v>
      </c>
      <c r="H6" s="16">
        <f t="shared" ref="H6:H15" si="1">$B$2</f>
        <v>250</v>
      </c>
      <c r="I6" s="16">
        <f t="shared" ref="I6:I15" si="2">H6+G6</f>
        <v>250</v>
      </c>
      <c r="J6" s="25">
        <f>I6/1</f>
        <v>250</v>
      </c>
      <c r="K6" s="72"/>
      <c r="L6" s="72"/>
    </row>
    <row r="7" spans="1:12" x14ac:dyDescent="0.25">
      <c r="B7" s="15"/>
      <c r="D7" s="27" t="s">
        <v>24</v>
      </c>
      <c r="E7" s="12">
        <f>D21+E21</f>
        <v>326</v>
      </c>
      <c r="F7" s="12">
        <f>E21*1</f>
        <v>166</v>
      </c>
      <c r="G7" s="25">
        <f t="shared" si="0"/>
        <v>83</v>
      </c>
      <c r="H7" s="16">
        <f t="shared" si="1"/>
        <v>250</v>
      </c>
      <c r="I7" s="16">
        <f t="shared" si="2"/>
        <v>333</v>
      </c>
      <c r="J7" s="43">
        <f>I7/2</f>
        <v>166.5</v>
      </c>
      <c r="K7" s="72" t="s">
        <v>60</v>
      </c>
      <c r="L7" s="72"/>
    </row>
    <row r="8" spans="1:12" x14ac:dyDescent="0.25">
      <c r="B8" s="15"/>
      <c r="D8" s="27">
        <v>3</v>
      </c>
      <c r="E8" s="12">
        <f>F21</f>
        <v>220</v>
      </c>
      <c r="F8" s="12"/>
      <c r="G8" s="25">
        <f t="shared" si="0"/>
        <v>0</v>
      </c>
      <c r="H8" s="16">
        <f t="shared" si="1"/>
        <v>250</v>
      </c>
      <c r="I8" s="16">
        <f t="shared" si="2"/>
        <v>250</v>
      </c>
      <c r="J8" s="44">
        <f>I8/1</f>
        <v>250</v>
      </c>
      <c r="K8" s="72" t="s">
        <v>45</v>
      </c>
      <c r="L8" s="72"/>
    </row>
    <row r="9" spans="1:12" x14ac:dyDescent="0.25">
      <c r="B9" s="15"/>
      <c r="D9" s="27" t="s">
        <v>61</v>
      </c>
      <c r="E9" s="12">
        <f>F21+G21</f>
        <v>491</v>
      </c>
      <c r="F9" s="12">
        <f>G21*1</f>
        <v>271</v>
      </c>
      <c r="G9" s="25">
        <f t="shared" si="0"/>
        <v>135.5</v>
      </c>
      <c r="H9" s="16">
        <f t="shared" si="1"/>
        <v>250</v>
      </c>
      <c r="I9" s="16">
        <f t="shared" si="2"/>
        <v>385.5</v>
      </c>
      <c r="J9" s="43">
        <f>I9/2</f>
        <v>192.75</v>
      </c>
      <c r="K9" s="72" t="s">
        <v>63</v>
      </c>
      <c r="L9" s="72"/>
    </row>
    <row r="10" spans="1:12" x14ac:dyDescent="0.25">
      <c r="B10" s="15"/>
      <c r="D10" s="27" t="s">
        <v>62</v>
      </c>
      <c r="E10" s="12">
        <f>F21+G21+H21</f>
        <v>701</v>
      </c>
      <c r="F10" s="12">
        <f>(1*$G$21)+(2*$H$21)</f>
        <v>691</v>
      </c>
      <c r="G10" s="25">
        <f t="shared" si="0"/>
        <v>345.5</v>
      </c>
      <c r="H10" s="16">
        <f t="shared" si="1"/>
        <v>250</v>
      </c>
      <c r="I10" s="16">
        <f t="shared" ref="I10" si="3">H10+G10</f>
        <v>595.5</v>
      </c>
      <c r="J10" s="44">
        <f>I10/3</f>
        <v>198.5</v>
      </c>
      <c r="K10" s="47" t="s">
        <v>45</v>
      </c>
      <c r="L10" s="48"/>
    </row>
    <row r="11" spans="1:12" x14ac:dyDescent="0.25">
      <c r="B11" s="15"/>
      <c r="D11" s="27">
        <v>5</v>
      </c>
      <c r="E11" s="12">
        <f>H21</f>
        <v>210</v>
      </c>
      <c r="F11" s="12"/>
      <c r="G11" s="25">
        <f t="shared" si="0"/>
        <v>0</v>
      </c>
      <c r="H11" s="16">
        <f t="shared" si="1"/>
        <v>250</v>
      </c>
      <c r="I11" s="16">
        <f t="shared" ref="I11" si="4">H11+G11</f>
        <v>250</v>
      </c>
      <c r="J11" s="44">
        <f>I11/1</f>
        <v>250</v>
      </c>
      <c r="K11" s="47"/>
      <c r="L11" s="48"/>
    </row>
    <row r="12" spans="1:12" x14ac:dyDescent="0.25">
      <c r="B12" s="15"/>
      <c r="D12" s="27" t="s">
        <v>64</v>
      </c>
      <c r="E12" s="12">
        <f>H21+I21</f>
        <v>398</v>
      </c>
      <c r="F12" s="12">
        <f>I21*1</f>
        <v>188</v>
      </c>
      <c r="G12" s="25">
        <f t="shared" si="0"/>
        <v>94</v>
      </c>
      <c r="H12" s="16">
        <f t="shared" si="1"/>
        <v>250</v>
      </c>
      <c r="I12" s="16">
        <f t="shared" ref="I12" si="5">H12+G12</f>
        <v>344</v>
      </c>
      <c r="J12" s="44">
        <f>I12/2</f>
        <v>172</v>
      </c>
      <c r="K12" s="47"/>
      <c r="L12" s="48"/>
    </row>
    <row r="13" spans="1:12" x14ac:dyDescent="0.25">
      <c r="B13" s="15"/>
      <c r="D13" s="27" t="s">
        <v>65</v>
      </c>
      <c r="E13" s="12">
        <f>H21+I21+J21</f>
        <v>559</v>
      </c>
      <c r="F13" s="12">
        <f>(1*$I$21)+(2*$J$21)</f>
        <v>510</v>
      </c>
      <c r="G13" s="25">
        <f t="shared" si="0"/>
        <v>255</v>
      </c>
      <c r="H13" s="16">
        <f t="shared" si="1"/>
        <v>250</v>
      </c>
      <c r="I13" s="16">
        <f t="shared" ref="I13" si="6">H13+G13</f>
        <v>505</v>
      </c>
      <c r="J13" s="43">
        <f>I13/3</f>
        <v>168.33333333333334</v>
      </c>
      <c r="K13" s="47" t="s">
        <v>66</v>
      </c>
      <c r="L13" s="48"/>
    </row>
    <row r="14" spans="1:12" x14ac:dyDescent="0.25">
      <c r="B14" s="15"/>
      <c r="D14" s="27" t="s">
        <v>67</v>
      </c>
      <c r="E14" s="12">
        <f>H21+I21+J21+K21</f>
        <v>729</v>
      </c>
      <c r="F14" s="12">
        <f>(1*$I$21)+(2*$J$21)+(3*K21)</f>
        <v>1020</v>
      </c>
      <c r="G14" s="25">
        <f t="shared" si="0"/>
        <v>510</v>
      </c>
      <c r="H14" s="16">
        <f t="shared" si="1"/>
        <v>250</v>
      </c>
      <c r="I14" s="16">
        <f t="shared" ref="I14" si="7">H14+G14</f>
        <v>760</v>
      </c>
      <c r="J14" s="44">
        <f>I14/4</f>
        <v>190</v>
      </c>
      <c r="K14" s="47" t="s">
        <v>45</v>
      </c>
      <c r="L14" s="48"/>
    </row>
    <row r="15" spans="1:12" x14ac:dyDescent="0.25">
      <c r="B15" s="15"/>
      <c r="D15" s="27">
        <v>8</v>
      </c>
      <c r="E15" s="12">
        <f>K21</f>
        <v>170</v>
      </c>
      <c r="F15" s="12"/>
      <c r="G15" s="25">
        <f t="shared" si="0"/>
        <v>0</v>
      </c>
      <c r="H15" s="16">
        <f t="shared" si="1"/>
        <v>250</v>
      </c>
      <c r="I15" s="16">
        <f t="shared" si="2"/>
        <v>250</v>
      </c>
      <c r="J15" s="43">
        <f>I15/1</f>
        <v>250</v>
      </c>
      <c r="K15" s="72" t="s">
        <v>40</v>
      </c>
      <c r="L15" s="72"/>
    </row>
    <row r="16" spans="1:12" x14ac:dyDescent="0.25">
      <c r="B16" s="15"/>
      <c r="D16" s="33"/>
      <c r="E16" s="24"/>
      <c r="F16" s="24"/>
      <c r="G16" s="25">
        <f>G7+G9+G13+G15</f>
        <v>473.5</v>
      </c>
      <c r="H16" s="16">
        <f>H7+H9+H13+H15</f>
        <v>1000</v>
      </c>
      <c r="I16" s="44">
        <f>G16+H16</f>
        <v>1473.5</v>
      </c>
      <c r="J16" s="35"/>
      <c r="K16" s="36"/>
      <c r="L16" s="36"/>
    </row>
    <row r="17" spans="1:12" x14ac:dyDescent="0.25">
      <c r="B17" s="15"/>
      <c r="D17" s="33"/>
      <c r="E17" s="24"/>
      <c r="F17" s="24"/>
      <c r="G17" s="34"/>
      <c r="H17" s="35"/>
      <c r="I17" s="38"/>
      <c r="J17" s="35"/>
      <c r="K17" s="36"/>
      <c r="L17" s="36"/>
    </row>
    <row r="18" spans="1:12" x14ac:dyDescent="0.25">
      <c r="A18" s="54" t="s">
        <v>68</v>
      </c>
      <c r="B18" s="54"/>
      <c r="C18" s="54"/>
      <c r="D18" s="54"/>
      <c r="E18" s="54"/>
      <c r="F18" s="54"/>
      <c r="G18" s="54"/>
      <c r="H18" s="67"/>
      <c r="I18" s="67"/>
      <c r="J18" s="67"/>
      <c r="K18" s="54"/>
      <c r="L18" s="54"/>
    </row>
    <row r="19" spans="1:12" ht="15" customHeight="1" x14ac:dyDescent="0.25">
      <c r="A19" s="53" t="s">
        <v>0</v>
      </c>
      <c r="B19" s="65" t="s">
        <v>1</v>
      </c>
      <c r="C19" s="59" t="s">
        <v>2</v>
      </c>
      <c r="D19" s="54" t="s">
        <v>11</v>
      </c>
      <c r="E19" s="54"/>
      <c r="F19" s="54"/>
      <c r="G19" s="54"/>
      <c r="H19" s="54"/>
      <c r="I19" s="54"/>
      <c r="J19" s="54"/>
      <c r="K19" s="54"/>
      <c r="L19" s="54"/>
    </row>
    <row r="20" spans="1:12" x14ac:dyDescent="0.25">
      <c r="A20" s="53"/>
      <c r="B20" s="75"/>
      <c r="C20" s="59"/>
      <c r="D20" s="39">
        <v>1</v>
      </c>
      <c r="E20" s="39">
        <v>2</v>
      </c>
      <c r="F20" s="39">
        <v>3</v>
      </c>
      <c r="G20" s="39">
        <v>4</v>
      </c>
      <c r="H20" s="39">
        <v>5</v>
      </c>
      <c r="I20" s="39">
        <v>6</v>
      </c>
      <c r="J20" s="39">
        <v>7</v>
      </c>
      <c r="K20" s="39">
        <v>8</v>
      </c>
      <c r="L20" s="39" t="s">
        <v>17</v>
      </c>
    </row>
    <row r="21" spans="1:12" x14ac:dyDescent="0.25">
      <c r="A21" s="63" t="s">
        <v>10</v>
      </c>
      <c r="B21" s="56">
        <v>0</v>
      </c>
      <c r="C21" s="1" t="s">
        <v>3</v>
      </c>
      <c r="D21" s="1">
        <v>160</v>
      </c>
      <c r="E21" s="1">
        <v>166</v>
      </c>
      <c r="F21" s="1">
        <v>220</v>
      </c>
      <c r="G21" s="1">
        <v>271</v>
      </c>
      <c r="H21" s="1">
        <v>210</v>
      </c>
      <c r="I21" s="1">
        <v>188</v>
      </c>
      <c r="J21" s="12">
        <v>161</v>
      </c>
      <c r="K21" s="12">
        <v>170</v>
      </c>
      <c r="L21" s="64"/>
    </row>
    <row r="22" spans="1:12" x14ac:dyDescent="0.25">
      <c r="A22" s="63"/>
      <c r="B22" s="57"/>
      <c r="C22" s="1" t="s">
        <v>4</v>
      </c>
      <c r="D22" s="1"/>
      <c r="E22" s="1"/>
      <c r="F22" s="1"/>
      <c r="G22" s="1"/>
      <c r="H22" s="1"/>
      <c r="I22" s="1"/>
      <c r="J22" s="12"/>
      <c r="K22" s="12"/>
      <c r="L22" s="64"/>
    </row>
    <row r="23" spans="1:12" x14ac:dyDescent="0.25">
      <c r="A23" s="63"/>
      <c r="B23" s="57"/>
      <c r="C23" s="1" t="s">
        <v>15</v>
      </c>
      <c r="D23" s="1">
        <f>B21</f>
        <v>0</v>
      </c>
      <c r="E23" s="1">
        <f>D25-D24</f>
        <v>166</v>
      </c>
      <c r="F23" s="1">
        <f>E23-E21</f>
        <v>0</v>
      </c>
      <c r="G23" s="1">
        <f>F25-F24</f>
        <v>271</v>
      </c>
      <c r="H23" s="1">
        <f>G25-G24</f>
        <v>0</v>
      </c>
      <c r="I23" s="1">
        <f>H25-H24</f>
        <v>349</v>
      </c>
      <c r="J23" s="1">
        <f>I23-I21</f>
        <v>161</v>
      </c>
      <c r="K23" s="1">
        <v>0</v>
      </c>
      <c r="L23" s="64"/>
    </row>
    <row r="24" spans="1:12" x14ac:dyDescent="0.25">
      <c r="A24" s="63"/>
      <c r="B24" s="57"/>
      <c r="C24" s="1" t="s">
        <v>5</v>
      </c>
      <c r="D24" s="1">
        <f>D21-D23</f>
        <v>160</v>
      </c>
      <c r="E24" s="1">
        <v>0</v>
      </c>
      <c r="F24" s="1">
        <f t="shared" ref="F24:K24" si="8">F21-F23</f>
        <v>220</v>
      </c>
      <c r="G24" s="1">
        <f t="shared" si="8"/>
        <v>0</v>
      </c>
      <c r="H24" s="1">
        <f t="shared" si="8"/>
        <v>210</v>
      </c>
      <c r="I24" s="1">
        <v>0</v>
      </c>
      <c r="J24" s="1">
        <f>I23-I21</f>
        <v>161</v>
      </c>
      <c r="K24" s="1">
        <f t="shared" si="8"/>
        <v>170</v>
      </c>
      <c r="L24" s="64"/>
    </row>
    <row r="25" spans="1:12" x14ac:dyDescent="0.25">
      <c r="A25" s="63"/>
      <c r="B25" s="57"/>
      <c r="C25" s="1" t="s">
        <v>6</v>
      </c>
      <c r="D25" s="1">
        <f>D21+E21</f>
        <v>326</v>
      </c>
      <c r="E25" s="1"/>
      <c r="F25" s="1">
        <f>E26</f>
        <v>491</v>
      </c>
      <c r="G25" s="1"/>
      <c r="H25" s="1">
        <f>G26</f>
        <v>559</v>
      </c>
      <c r="I25" s="1"/>
      <c r="J25" s="1"/>
      <c r="K25" s="1">
        <f>J26</f>
        <v>170</v>
      </c>
      <c r="L25" s="64"/>
    </row>
    <row r="26" spans="1:12" x14ac:dyDescent="0.25">
      <c r="A26" s="63"/>
      <c r="B26" s="57"/>
      <c r="C26" s="1" t="s">
        <v>7</v>
      </c>
      <c r="D26" s="1"/>
      <c r="E26" s="1">
        <f>F21+G21</f>
        <v>491</v>
      </c>
      <c r="F26" s="1"/>
      <c r="G26" s="1">
        <f>H21+I21+J21</f>
        <v>559</v>
      </c>
      <c r="H26" s="1"/>
      <c r="I26" s="1"/>
      <c r="J26" s="12">
        <f>K21</f>
        <v>170</v>
      </c>
      <c r="K26" s="12"/>
      <c r="L26" s="64"/>
    </row>
    <row r="27" spans="1:12" x14ac:dyDescent="0.25">
      <c r="A27" s="63"/>
      <c r="B27" s="57"/>
      <c r="C27" s="1" t="s">
        <v>9</v>
      </c>
      <c r="D27" s="5">
        <f t="shared" ref="D27:K27" si="9">D23*$B$1</f>
        <v>0</v>
      </c>
      <c r="E27" s="37">
        <f t="shared" si="9"/>
        <v>83</v>
      </c>
      <c r="F27" s="5">
        <f t="shared" si="9"/>
        <v>0</v>
      </c>
      <c r="G27" s="37">
        <f t="shared" si="9"/>
        <v>135.5</v>
      </c>
      <c r="H27" s="5">
        <f t="shared" si="9"/>
        <v>0</v>
      </c>
      <c r="I27" s="37">
        <f t="shared" si="9"/>
        <v>174.5</v>
      </c>
      <c r="J27" s="5">
        <f t="shared" si="9"/>
        <v>80.5</v>
      </c>
      <c r="K27" s="37">
        <f t="shared" si="9"/>
        <v>0</v>
      </c>
      <c r="L27" s="16">
        <f>SUM(D27:K27)</f>
        <v>473.5</v>
      </c>
    </row>
    <row r="28" spans="1:12" x14ac:dyDescent="0.25">
      <c r="A28" s="63"/>
      <c r="B28" s="57"/>
      <c r="C28" s="1" t="s">
        <v>14</v>
      </c>
      <c r="D28" s="5">
        <f t="shared" ref="D28:J28" si="10">IF(D26&gt;0,1*$B$2,0)</f>
        <v>0</v>
      </c>
      <c r="E28" s="5">
        <f t="shared" si="10"/>
        <v>250</v>
      </c>
      <c r="F28" s="5">
        <f t="shared" si="10"/>
        <v>0</v>
      </c>
      <c r="G28" s="5">
        <f t="shared" si="10"/>
        <v>250</v>
      </c>
      <c r="H28" s="5">
        <f t="shared" si="10"/>
        <v>0</v>
      </c>
      <c r="I28" s="5">
        <f t="shared" si="10"/>
        <v>0</v>
      </c>
      <c r="J28" s="5">
        <f t="shared" si="10"/>
        <v>250</v>
      </c>
      <c r="K28" s="5"/>
      <c r="L28" s="16">
        <f>SUM(D28:K28)</f>
        <v>750</v>
      </c>
    </row>
    <row r="29" spans="1:12" x14ac:dyDescent="0.25">
      <c r="A29" s="63"/>
      <c r="B29" s="58"/>
      <c r="C29" s="3" t="s">
        <v>13</v>
      </c>
      <c r="D29" s="6">
        <f>D27+D28</f>
        <v>0</v>
      </c>
      <c r="E29" s="6">
        <f>E27+E28</f>
        <v>333</v>
      </c>
      <c r="F29" s="6">
        <f>F27+F28</f>
        <v>0</v>
      </c>
      <c r="G29" s="6">
        <f>G27+G28</f>
        <v>385.5</v>
      </c>
      <c r="H29" s="6">
        <f t="shared" ref="H29:K29" si="11">H27+H28</f>
        <v>0</v>
      </c>
      <c r="I29" s="6">
        <f t="shared" si="11"/>
        <v>174.5</v>
      </c>
      <c r="J29" s="6">
        <f t="shared" si="11"/>
        <v>330.5</v>
      </c>
      <c r="K29" s="6">
        <f t="shared" si="11"/>
        <v>0</v>
      </c>
      <c r="L29" s="42">
        <f>SUM(D29:K29)</f>
        <v>1223.5</v>
      </c>
    </row>
    <row r="30" spans="1:12" x14ac:dyDescent="0.25"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C31" s="2"/>
    </row>
    <row r="32" spans="1:12" x14ac:dyDescent="0.25">
      <c r="C32" s="24"/>
      <c r="D32" s="24"/>
      <c r="E32" s="21"/>
      <c r="L32" s="24"/>
    </row>
    <row r="33" spans="3:18" ht="30.75" customHeight="1" x14ac:dyDescent="0.25">
      <c r="C33" s="2"/>
      <c r="D33" s="24"/>
    </row>
    <row r="34" spans="3:18" x14ac:dyDescent="0.25">
      <c r="C34" s="24"/>
      <c r="D34" s="23"/>
      <c r="M34" s="22"/>
      <c r="P34" s="9"/>
      <c r="Q34" s="9"/>
      <c r="R34" s="19"/>
    </row>
    <row r="35" spans="3:18" x14ac:dyDescent="0.25">
      <c r="C35" s="24"/>
      <c r="D35" s="23"/>
      <c r="M35" s="22"/>
      <c r="O35" s="17"/>
      <c r="P35" s="9"/>
      <c r="Q35" s="9"/>
      <c r="R35" s="19"/>
    </row>
    <row r="36" spans="3:18" x14ac:dyDescent="0.25">
      <c r="C36" s="24"/>
      <c r="D36" s="23"/>
      <c r="M36" s="22"/>
      <c r="O36" s="17"/>
      <c r="P36" s="9"/>
      <c r="Q36" s="9"/>
      <c r="R36" s="19"/>
    </row>
    <row r="37" spans="3:18" x14ac:dyDescent="0.25">
      <c r="C37" s="24"/>
      <c r="D37" s="23"/>
    </row>
    <row r="38" spans="3:18" x14ac:dyDescent="0.25">
      <c r="C38" s="24"/>
      <c r="D38" s="23"/>
      <c r="M38" s="22"/>
      <c r="O38" s="17"/>
      <c r="P38" s="9"/>
      <c r="Q38" s="9"/>
      <c r="R38" s="19"/>
    </row>
    <row r="39" spans="3:18" x14ac:dyDescent="0.25">
      <c r="C39" s="24"/>
      <c r="D39" s="23"/>
      <c r="M39" s="22"/>
      <c r="O39" s="17"/>
      <c r="P39" s="9"/>
      <c r="Q39" s="9"/>
      <c r="R39" s="19"/>
    </row>
    <row r="40" spans="3:18" x14ac:dyDescent="0.25">
      <c r="C40" s="24"/>
      <c r="D40" s="23"/>
      <c r="M40" s="22"/>
      <c r="O40" s="17"/>
      <c r="P40" s="9"/>
      <c r="Q40" s="9"/>
      <c r="R40" s="19"/>
    </row>
    <row r="41" spans="3:18" x14ac:dyDescent="0.25">
      <c r="C41" s="24"/>
      <c r="D41" s="23"/>
      <c r="M41" s="22"/>
      <c r="O41" s="17"/>
      <c r="P41" s="9"/>
      <c r="Q41" s="9"/>
      <c r="R41" s="19"/>
    </row>
    <row r="42" spans="3:18" x14ac:dyDescent="0.25">
      <c r="C42" s="24"/>
      <c r="D42" s="23"/>
    </row>
    <row r="43" spans="3:18" x14ac:dyDescent="0.25">
      <c r="C43" s="24"/>
      <c r="D43" s="24"/>
    </row>
    <row r="44" spans="3:18" x14ac:dyDescent="0.25">
      <c r="C44" s="24"/>
      <c r="D44" s="24"/>
    </row>
    <row r="45" spans="3:18" x14ac:dyDescent="0.25">
      <c r="L45" s="24"/>
    </row>
  </sheetData>
  <mergeCells count="14">
    <mergeCell ref="K15:L15"/>
    <mergeCell ref="A18:L18"/>
    <mergeCell ref="K5:L5"/>
    <mergeCell ref="K6:L6"/>
    <mergeCell ref="K7:L7"/>
    <mergeCell ref="K8:L8"/>
    <mergeCell ref="K9:L9"/>
    <mergeCell ref="A19:A20"/>
    <mergeCell ref="B19:B20"/>
    <mergeCell ref="C19:C20"/>
    <mergeCell ref="D19:L19"/>
    <mergeCell ref="A21:A29"/>
    <mergeCell ref="B21:B29"/>
    <mergeCell ref="L21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workbookViewId="0">
      <selection activeCell="B23" sqref="B23"/>
    </sheetView>
  </sheetViews>
  <sheetFormatPr baseColWidth="10" defaultRowHeight="15" x14ac:dyDescent="0.25"/>
  <cols>
    <col min="1" max="1" width="18" bestFit="1" customWidth="1"/>
    <col min="2" max="2" width="12" customWidth="1"/>
    <col min="3" max="3" width="24.28515625" bestFit="1" customWidth="1"/>
    <col min="4" max="11" width="9.7109375" customWidth="1"/>
    <col min="12" max="13" width="11" bestFit="1" customWidth="1"/>
    <col min="14" max="14" width="10.7109375" customWidth="1"/>
  </cols>
  <sheetData>
    <row r="1" spans="1:12" x14ac:dyDescent="0.25">
      <c r="A1" t="s">
        <v>9</v>
      </c>
      <c r="B1" s="13">
        <v>0.5</v>
      </c>
    </row>
    <row r="2" spans="1:12" x14ac:dyDescent="0.25">
      <c r="A2" t="s">
        <v>8</v>
      </c>
      <c r="B2" s="4">
        <v>250</v>
      </c>
    </row>
    <row r="3" spans="1:12" x14ac:dyDescent="0.25">
      <c r="A3" t="s">
        <v>16</v>
      </c>
      <c r="B3" s="15">
        <v>1</v>
      </c>
    </row>
    <row r="4" spans="1:12" x14ac:dyDescent="0.25">
      <c r="B4" s="15"/>
      <c r="F4" s="17"/>
    </row>
    <row r="5" spans="1:12" x14ac:dyDescent="0.25">
      <c r="A5" s="54" t="s">
        <v>71</v>
      </c>
      <c r="B5" s="54"/>
      <c r="C5" s="54"/>
      <c r="D5" s="54"/>
      <c r="E5" s="54"/>
      <c r="F5" s="54"/>
      <c r="G5" s="54"/>
      <c r="H5" s="67"/>
      <c r="I5" s="67"/>
      <c r="J5" s="67"/>
      <c r="K5" s="54"/>
      <c r="L5" s="54"/>
    </row>
    <row r="6" spans="1:12" ht="15" customHeight="1" x14ac:dyDescent="0.25">
      <c r="A6" s="53" t="s">
        <v>0</v>
      </c>
      <c r="B6" s="65" t="s">
        <v>1</v>
      </c>
      <c r="C6" s="59" t="s">
        <v>2</v>
      </c>
      <c r="D6" s="54" t="s">
        <v>11</v>
      </c>
      <c r="E6" s="54"/>
      <c r="F6" s="54"/>
      <c r="G6" s="54"/>
      <c r="H6" s="54"/>
      <c r="I6" s="54"/>
      <c r="J6" s="54"/>
      <c r="K6" s="54"/>
      <c r="L6" s="54"/>
    </row>
    <row r="7" spans="1:12" x14ac:dyDescent="0.25">
      <c r="A7" s="53"/>
      <c r="B7" s="75"/>
      <c r="C7" s="59"/>
      <c r="D7" s="52">
        <v>1</v>
      </c>
      <c r="E7" s="52">
        <v>2</v>
      </c>
      <c r="F7" s="52">
        <v>3</v>
      </c>
      <c r="G7" s="52">
        <v>4</v>
      </c>
      <c r="H7" s="52">
        <v>5</v>
      </c>
      <c r="I7" s="52">
        <v>6</v>
      </c>
      <c r="J7" s="52">
        <v>7</v>
      </c>
      <c r="K7" s="52">
        <v>8</v>
      </c>
      <c r="L7" s="52" t="s">
        <v>17</v>
      </c>
    </row>
    <row r="8" spans="1:12" x14ac:dyDescent="0.25">
      <c r="A8" s="63" t="s">
        <v>10</v>
      </c>
      <c r="B8" s="56">
        <v>0</v>
      </c>
      <c r="C8" s="1" t="s">
        <v>3</v>
      </c>
      <c r="D8" s="1">
        <v>160</v>
      </c>
      <c r="E8" s="1">
        <v>166</v>
      </c>
      <c r="F8" s="1">
        <v>220</v>
      </c>
      <c r="G8" s="1">
        <v>271</v>
      </c>
      <c r="H8" s="1">
        <v>210</v>
      </c>
      <c r="I8" s="1">
        <v>188</v>
      </c>
      <c r="J8" s="12">
        <v>161</v>
      </c>
      <c r="K8" s="12">
        <v>170</v>
      </c>
      <c r="L8" s="64"/>
    </row>
    <row r="9" spans="1:12" x14ac:dyDescent="0.25">
      <c r="A9" s="63"/>
      <c r="B9" s="57"/>
      <c r="C9" s="1" t="s">
        <v>4</v>
      </c>
      <c r="D9" s="1"/>
      <c r="E9" s="1"/>
      <c r="F9" s="1"/>
      <c r="G9" s="1"/>
      <c r="H9" s="1"/>
      <c r="I9" s="1"/>
      <c r="J9" s="12"/>
      <c r="K9" s="12"/>
      <c r="L9" s="64"/>
    </row>
    <row r="10" spans="1:12" x14ac:dyDescent="0.25">
      <c r="A10" s="63"/>
      <c r="B10" s="57"/>
      <c r="C10" s="1" t="s">
        <v>15</v>
      </c>
      <c r="D10" s="1">
        <f>B8</f>
        <v>0</v>
      </c>
      <c r="E10" s="1">
        <f>D12-D11</f>
        <v>166</v>
      </c>
      <c r="F10" s="1">
        <f>E10-E8</f>
        <v>0</v>
      </c>
      <c r="G10" s="1">
        <f>F12-F11</f>
        <v>271</v>
      </c>
      <c r="H10" s="1">
        <f>G12-G11</f>
        <v>0</v>
      </c>
      <c r="I10" s="1">
        <f>H12-H11</f>
        <v>188</v>
      </c>
      <c r="J10" s="1">
        <f>I10-I8</f>
        <v>0</v>
      </c>
      <c r="K10" s="1">
        <f>J12-J11</f>
        <v>170</v>
      </c>
      <c r="L10" s="64"/>
    </row>
    <row r="11" spans="1:12" x14ac:dyDescent="0.25">
      <c r="A11" s="63"/>
      <c r="B11" s="57"/>
      <c r="C11" s="1" t="s">
        <v>5</v>
      </c>
      <c r="D11" s="1">
        <f>D8-D10</f>
        <v>160</v>
      </c>
      <c r="E11" s="1">
        <f t="shared" ref="E11:K11" si="0">E8-E10</f>
        <v>0</v>
      </c>
      <c r="F11" s="1">
        <f t="shared" si="0"/>
        <v>220</v>
      </c>
      <c r="G11" s="1">
        <f t="shared" si="0"/>
        <v>0</v>
      </c>
      <c r="H11" s="1">
        <f t="shared" si="0"/>
        <v>210</v>
      </c>
      <c r="I11" s="1">
        <f t="shared" si="0"/>
        <v>0</v>
      </c>
      <c r="J11" s="1">
        <f t="shared" si="0"/>
        <v>161</v>
      </c>
      <c r="K11" s="1">
        <f t="shared" si="0"/>
        <v>0</v>
      </c>
      <c r="L11" s="64"/>
    </row>
    <row r="12" spans="1:12" x14ac:dyDescent="0.25">
      <c r="A12" s="63"/>
      <c r="B12" s="57"/>
      <c r="C12" s="1" t="s">
        <v>6</v>
      </c>
      <c r="D12" s="1">
        <f>D8+E8</f>
        <v>326</v>
      </c>
      <c r="E12" s="1"/>
      <c r="F12" s="1">
        <f>E13</f>
        <v>491</v>
      </c>
      <c r="G12" s="1"/>
      <c r="H12" s="1">
        <f>G13</f>
        <v>398</v>
      </c>
      <c r="I12" s="1"/>
      <c r="J12" s="1">
        <f>I13</f>
        <v>331</v>
      </c>
      <c r="K12" s="1"/>
      <c r="L12" s="64"/>
    </row>
    <row r="13" spans="1:12" x14ac:dyDescent="0.25">
      <c r="A13" s="63"/>
      <c r="B13" s="57"/>
      <c r="C13" s="1" t="s">
        <v>7</v>
      </c>
      <c r="D13" s="1"/>
      <c r="E13" s="1">
        <f>F8+G8</f>
        <v>491</v>
      </c>
      <c r="F13" s="1"/>
      <c r="G13" s="1">
        <f>H8+I8</f>
        <v>398</v>
      </c>
      <c r="H13" s="1"/>
      <c r="I13" s="1">
        <f>J8+K8</f>
        <v>331</v>
      </c>
      <c r="J13" s="12"/>
      <c r="K13" s="12"/>
      <c r="L13" s="64"/>
    </row>
    <row r="14" spans="1:12" x14ac:dyDescent="0.25">
      <c r="A14" s="63"/>
      <c r="B14" s="57"/>
      <c r="C14" s="1" t="s">
        <v>9</v>
      </c>
      <c r="D14" s="5">
        <f t="shared" ref="D14:K14" si="1">D10*$B$1</f>
        <v>0</v>
      </c>
      <c r="E14" s="37">
        <f t="shared" si="1"/>
        <v>83</v>
      </c>
      <c r="F14" s="5">
        <f t="shared" si="1"/>
        <v>0</v>
      </c>
      <c r="G14" s="37">
        <f>G10*$B$1</f>
        <v>135.5</v>
      </c>
      <c r="H14" s="5">
        <f t="shared" si="1"/>
        <v>0</v>
      </c>
      <c r="I14" s="37">
        <f>I10*$B$1</f>
        <v>94</v>
      </c>
      <c r="J14" s="5">
        <f t="shared" si="1"/>
        <v>0</v>
      </c>
      <c r="K14" s="37">
        <f>K10*$B$1</f>
        <v>85</v>
      </c>
      <c r="L14" s="16">
        <f>SUM(D14:K14)</f>
        <v>397.5</v>
      </c>
    </row>
    <row r="15" spans="1:12" x14ac:dyDescent="0.25">
      <c r="A15" s="63"/>
      <c r="B15" s="57"/>
      <c r="C15" s="1" t="s">
        <v>14</v>
      </c>
      <c r="D15" s="5">
        <f t="shared" ref="D15:K15" si="2">IF(D13&gt;0,1*$B$2,0)</f>
        <v>0</v>
      </c>
      <c r="E15" s="5">
        <f t="shared" si="2"/>
        <v>250</v>
      </c>
      <c r="F15" s="5">
        <f t="shared" si="2"/>
        <v>0</v>
      </c>
      <c r="G15" s="5">
        <f t="shared" si="2"/>
        <v>250</v>
      </c>
      <c r="H15" s="5">
        <f t="shared" si="2"/>
        <v>0</v>
      </c>
      <c r="I15" s="5">
        <f>IF(I13&gt;0,1*$B$2,0)</f>
        <v>250</v>
      </c>
      <c r="J15" s="5">
        <f>IF(J13&gt;0,1*$B$2,0)</f>
        <v>0</v>
      </c>
      <c r="K15" s="5">
        <f>IF(K13&gt;0,1*$B$2,0)</f>
        <v>0</v>
      </c>
      <c r="L15" s="16">
        <f>SUM(D15:K15)</f>
        <v>750</v>
      </c>
    </row>
    <row r="16" spans="1:12" x14ac:dyDescent="0.25">
      <c r="A16" s="63"/>
      <c r="B16" s="58"/>
      <c r="C16" s="3" t="s">
        <v>13</v>
      </c>
      <c r="D16" s="6">
        <f>D14+D15</f>
        <v>0</v>
      </c>
      <c r="E16" s="6">
        <f>E14+E15</f>
        <v>333</v>
      </c>
      <c r="F16" s="6">
        <f>F14+F15</f>
        <v>0</v>
      </c>
      <c r="G16" s="6">
        <f>G14+G15</f>
        <v>385.5</v>
      </c>
      <c r="H16" s="6">
        <f t="shared" ref="H16:K16" si="3">H14+H15</f>
        <v>0</v>
      </c>
      <c r="I16" s="6">
        <f>I14+I15</f>
        <v>344</v>
      </c>
      <c r="J16" s="6">
        <f t="shared" si="3"/>
        <v>0</v>
      </c>
      <c r="K16" s="6">
        <f t="shared" si="3"/>
        <v>85</v>
      </c>
      <c r="L16" s="25">
        <f>SUM(D16:K16)</f>
        <v>1147.5</v>
      </c>
    </row>
    <row r="21" spans="3:18" x14ac:dyDescent="0.25">
      <c r="P21" s="9"/>
      <c r="Q21" s="9"/>
      <c r="R21" s="19"/>
    </row>
    <row r="22" spans="3:18" x14ac:dyDescent="0.25">
      <c r="O22" s="17"/>
      <c r="P22" s="9"/>
      <c r="Q22" s="9"/>
      <c r="R22" s="19"/>
    </row>
    <row r="23" spans="3:18" x14ac:dyDescent="0.25">
      <c r="O23" s="17"/>
      <c r="P23" s="9"/>
      <c r="Q23" s="9"/>
      <c r="R23" s="19"/>
    </row>
    <row r="25" spans="3:18" x14ac:dyDescent="0.25">
      <c r="O25" s="17"/>
      <c r="P25" s="9"/>
      <c r="Q25" s="9"/>
      <c r="R25" s="19"/>
    </row>
    <row r="26" spans="3:18" x14ac:dyDescent="0.25">
      <c r="O26" s="17"/>
      <c r="P26" s="9"/>
      <c r="Q26" s="9"/>
      <c r="R26" s="19"/>
    </row>
    <row r="27" spans="3:18" x14ac:dyDescent="0.25">
      <c r="O27" s="17"/>
      <c r="P27" s="9"/>
      <c r="Q27" s="9"/>
      <c r="R27" s="19"/>
    </row>
    <row r="28" spans="3:18" x14ac:dyDescent="0.25">
      <c r="O28" s="17"/>
      <c r="P28" s="9"/>
      <c r="Q28" s="9"/>
      <c r="R28" s="19"/>
    </row>
    <row r="30" spans="3:18" x14ac:dyDescent="0.25">
      <c r="C30" s="24"/>
      <c r="D30" s="24"/>
    </row>
    <row r="31" spans="3:18" x14ac:dyDescent="0.25">
      <c r="C31" s="24"/>
      <c r="D31" s="24"/>
    </row>
    <row r="32" spans="3:18" x14ac:dyDescent="0.25">
      <c r="L32" s="24"/>
    </row>
  </sheetData>
  <mergeCells count="8">
    <mergeCell ref="A5:L5"/>
    <mergeCell ref="A6:A7"/>
    <mergeCell ref="B6:B7"/>
    <mergeCell ref="C6:C7"/>
    <mergeCell ref="D6:L6"/>
    <mergeCell ref="A8:A16"/>
    <mergeCell ref="B8:B16"/>
    <mergeCell ref="L8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Resultado CT</vt:lpstr>
      <vt:lpstr>Lote a lote</vt:lpstr>
      <vt:lpstr>Período constante</vt:lpstr>
      <vt:lpstr>EOQ</vt:lpstr>
      <vt:lpstr>POQ</vt:lpstr>
      <vt:lpstr>BPF</vt:lpstr>
      <vt:lpstr>MCU</vt:lpstr>
      <vt:lpstr>Silver - Meal</vt:lpstr>
      <vt:lpstr>Wagner - Within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Calidad</dc:creator>
  <cp:lastModifiedBy>Betancourt Quintero</cp:lastModifiedBy>
  <dcterms:created xsi:type="dcterms:W3CDTF">2017-12-07T20:31:34Z</dcterms:created>
  <dcterms:modified xsi:type="dcterms:W3CDTF">2017-12-31T03:16:17Z</dcterms:modified>
</cp:coreProperties>
</file>